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22" activeTab="1"/>
  </bookViews>
  <sheets>
    <sheet name="Feuille4" sheetId="1" r:id="rId1"/>
    <sheet name="calcul répartition" sheetId="2" r:id="rId2"/>
  </sheets>
  <definedNames/>
  <calcPr fullCalcOnLoad="1"/>
</workbook>
</file>

<file path=xl/sharedStrings.xml><?xml version="1.0" encoding="utf-8"?>
<sst xmlns="http://schemas.openxmlformats.org/spreadsheetml/2006/main" count="210" uniqueCount="110">
  <si>
    <t xml:space="preserve">niveau </t>
  </si>
  <si>
    <t>6 ème</t>
  </si>
  <si>
    <t>5 ème</t>
  </si>
  <si>
    <t>4 ème</t>
  </si>
  <si>
    <t>3 ème</t>
  </si>
  <si>
    <t>Choix volume AP et EPI</t>
  </si>
  <si>
    <t>division</t>
  </si>
  <si>
    <t>niveau</t>
  </si>
  <si>
    <t>volume horaire obligatoire élève</t>
  </si>
  <si>
    <t>ap</t>
  </si>
  <si>
    <t>Dot. Prof. Sup</t>
  </si>
  <si>
    <t>total général dot / classe</t>
  </si>
  <si>
    <t>marge prof</t>
  </si>
  <si>
    <t>part obli</t>
  </si>
  <si>
    <t>imp</t>
  </si>
  <si>
    <t>epi</t>
  </si>
  <si>
    <t>Total par niveau</t>
  </si>
  <si>
    <t>total</t>
  </si>
  <si>
    <t>dot complémentaire</t>
  </si>
  <si>
    <t>unss</t>
  </si>
  <si>
    <t>ulis</t>
  </si>
  <si>
    <t>labo</t>
  </si>
  <si>
    <t>bilangue</t>
  </si>
  <si>
    <t>autre</t>
  </si>
  <si>
    <t>total dot compl</t>
  </si>
  <si>
    <t>dgh</t>
  </si>
  <si>
    <t>dgh n-1</t>
  </si>
  <si>
    <t>Enseignements</t>
  </si>
  <si>
    <t>Horaires hebdomadaires</t>
  </si>
  <si>
    <t>Consommation horaire obligatoire</t>
  </si>
  <si>
    <t>anglais</t>
  </si>
  <si>
    <t>allemand</t>
  </si>
  <si>
    <t>espagnol</t>
  </si>
  <si>
    <t>potentiel trmd</t>
  </si>
  <si>
    <t>groupe</t>
  </si>
  <si>
    <t>latin/unss</t>
  </si>
  <si>
    <t>reste trm</t>
  </si>
  <si>
    <t>csd/csr</t>
  </si>
  <si>
    <t>nb classe</t>
  </si>
  <si>
    <t>nb groupe</t>
  </si>
  <si>
    <t>cons groupe allege</t>
  </si>
  <si>
    <t>vol horaire groupe</t>
  </si>
  <si>
    <t>Éducation physique et sportive</t>
  </si>
  <si>
    <t>segpa</t>
  </si>
  <si>
    <t>Arts plastiques</t>
  </si>
  <si>
    <t>LV1 6 ème</t>
  </si>
  <si>
    <t>Education musicale</t>
  </si>
  <si>
    <t>LV1 5 ème</t>
  </si>
  <si>
    <t>Français</t>
  </si>
  <si>
    <t>LV1 4 èmè</t>
  </si>
  <si>
    <t>Histoire-géographie-EMC</t>
  </si>
  <si>
    <t>LV1 3 ème</t>
  </si>
  <si>
    <t>Langue vivante 1 (anglais)</t>
  </si>
  <si>
    <t>LV2 5 ème</t>
  </si>
  <si>
    <t>Langue vivante 2</t>
  </si>
  <si>
    <t>LV2 4 èmè</t>
  </si>
  <si>
    <t>Mathématiques</t>
  </si>
  <si>
    <t>LV2 3 ème</t>
  </si>
  <si>
    <t>SVT</t>
  </si>
  <si>
    <t>reste</t>
  </si>
  <si>
    <t>Technologie</t>
  </si>
  <si>
    <t>cons marg prof</t>
  </si>
  <si>
    <t>Physique-chimie</t>
  </si>
  <si>
    <t>enseignement de complément latin</t>
  </si>
  <si>
    <t>nb groupe :</t>
  </si>
  <si>
    <t>reste marge</t>
  </si>
  <si>
    <t>enseignement de complément grec</t>
  </si>
  <si>
    <t>Module de répartition AP et EPI</t>
  </si>
  <si>
    <t>nb de classes</t>
  </si>
  <si>
    <t>nb groupes</t>
  </si>
  <si>
    <t>conso marge</t>
  </si>
  <si>
    <t>Discipline 1</t>
  </si>
  <si>
    <t>Discipline 2</t>
  </si>
  <si>
    <t>Discipline 3</t>
  </si>
  <si>
    <t>Cons / discipline</t>
  </si>
  <si>
    <t>h D1</t>
  </si>
  <si>
    <t>h D2</t>
  </si>
  <si>
    <t>h D3</t>
  </si>
  <si>
    <t>eps</t>
  </si>
  <si>
    <t xml:space="preserve">Consommation aide personnalisée </t>
  </si>
  <si>
    <t>6 ème AP1</t>
  </si>
  <si>
    <t>lv1</t>
  </si>
  <si>
    <t>français</t>
  </si>
  <si>
    <t>6 ème AP2</t>
  </si>
  <si>
    <t>maths</t>
  </si>
  <si>
    <t>6 ème AP3</t>
  </si>
  <si>
    <t>histgeo</t>
  </si>
  <si>
    <t>5 ème AP1</t>
  </si>
  <si>
    <t>svt</t>
  </si>
  <si>
    <t>5 ème AP/EPI 2</t>
  </si>
  <si>
    <t>techno</t>
  </si>
  <si>
    <t>5 ème AP/EPI 3</t>
  </si>
  <si>
    <t>phys</t>
  </si>
  <si>
    <t>Langue vivante 1</t>
  </si>
  <si>
    <t>5 ème AP/EPI 4</t>
  </si>
  <si>
    <t>edmu</t>
  </si>
  <si>
    <t>edart</t>
  </si>
  <si>
    <t>4 ème AP1</t>
  </si>
  <si>
    <t>lv2</t>
  </si>
  <si>
    <t>4 ème AP/EPI 2</t>
  </si>
  <si>
    <t>4 ème AP/EPI 3</t>
  </si>
  <si>
    <t>4 ème AP/EPI 4</t>
  </si>
  <si>
    <t>Consommation EPI</t>
  </si>
  <si>
    <t>ok</t>
  </si>
  <si>
    <t>3 ème AP1</t>
  </si>
  <si>
    <t>3 ème AP/EPI 2</t>
  </si>
  <si>
    <t>3 ème AP/EPI 3</t>
  </si>
  <si>
    <t>3 ème AP/EPI 4</t>
  </si>
  <si>
    <t>non affecté</t>
  </si>
  <si>
    <t>Consommation groupes allégés</t>
  </si>
</sst>
</file>

<file path=xl/styles.xml><?xml version="1.0" encoding="utf-8"?>
<styleSheet xmlns="http://schemas.openxmlformats.org/spreadsheetml/2006/main">
  <numFmts count="3">
    <numFmt numFmtId="164" formatCode="GENERAL"/>
    <numFmt numFmtId="165" formatCode="GENERAL"/>
    <numFmt numFmtId="166" formatCode="0.00"/>
  </numFmts>
  <fonts count="10">
    <font>
      <sz val="10"/>
      <name val="Microsoft YaHei"/>
      <family val="2"/>
    </font>
    <font>
      <sz val="10"/>
      <name val="Arial"/>
      <family val="0"/>
    </font>
    <font>
      <sz val="15"/>
      <name val="Times New Roman"/>
      <family val="1"/>
    </font>
    <font>
      <sz val="15"/>
      <color indexed="12"/>
      <name val="Times New Roman"/>
      <family val="1"/>
    </font>
    <font>
      <sz val="12"/>
      <name val="Times New Roman"/>
      <family val="1"/>
    </font>
    <font>
      <b/>
      <sz val="10"/>
      <name val="Arial"/>
      <family val="2"/>
    </font>
    <font>
      <sz val="8"/>
      <name val="Arial"/>
      <family val="2"/>
    </font>
    <font>
      <sz val="11"/>
      <name val="Arial"/>
      <family val="2"/>
    </font>
    <font>
      <b/>
      <sz val="10"/>
      <color indexed="10"/>
      <name val="Arial"/>
      <family val="2"/>
    </font>
    <font>
      <sz val="8.5"/>
      <name val="Arial"/>
      <family val="2"/>
    </font>
  </fonts>
  <fills count="12">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49"/>
        <bgColor indexed="64"/>
      </patternFill>
    </fill>
    <fill>
      <patternFill patternType="solid">
        <fgColor indexed="11"/>
        <bgColor indexed="64"/>
      </patternFill>
    </fill>
    <fill>
      <patternFill patternType="solid">
        <fgColor indexed="53"/>
        <bgColor indexed="64"/>
      </patternFill>
    </fill>
    <fill>
      <patternFill patternType="solid">
        <fgColor indexed="9"/>
        <bgColor indexed="64"/>
      </patternFill>
    </fill>
    <fill>
      <patternFill patternType="solid">
        <fgColor indexed="29"/>
        <bgColor indexed="64"/>
      </patternFill>
    </fill>
    <fill>
      <patternFill patternType="solid">
        <fgColor indexed="52"/>
        <bgColor indexed="64"/>
      </patternFill>
    </fill>
    <fill>
      <patternFill patternType="solid">
        <fgColor indexed="15"/>
        <bgColor indexed="64"/>
      </patternFill>
    </fill>
  </fills>
  <borders count="6">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1">
    <xf numFmtId="164" fontId="1" fillId="0" borderId="0" xfId="0" applyAlignment="1">
      <alignment/>
    </xf>
    <xf numFmtId="164" fontId="1" fillId="0" borderId="0" xfId="0" applyFill="1" applyAlignment="1">
      <alignment/>
    </xf>
    <xf numFmtId="164" fontId="1" fillId="2" borderId="1" xfId="0" applyFont="1" applyFill="1" applyBorder="1" applyAlignment="1">
      <alignment horizontal="right"/>
    </xf>
    <xf numFmtId="164" fontId="1" fillId="2" borderId="1" xfId="0" applyFont="1" applyFill="1" applyBorder="1" applyAlignment="1">
      <alignment horizontal="center"/>
    </xf>
    <xf numFmtId="164" fontId="1" fillId="2" borderId="1" xfId="0" applyFont="1" applyFill="1" applyBorder="1" applyAlignment="1">
      <alignment horizontal="center" vertical="center"/>
    </xf>
    <xf numFmtId="164" fontId="5" fillId="0" borderId="1" xfId="0" applyFont="1" applyFill="1" applyBorder="1" applyAlignment="1" applyProtection="1">
      <alignment horizontal="center"/>
      <protection locked="0"/>
    </xf>
    <xf numFmtId="164" fontId="1" fillId="2" borderId="1" xfId="0" applyFont="1" applyFill="1" applyBorder="1" applyAlignment="1">
      <alignment/>
    </xf>
    <xf numFmtId="164" fontId="5" fillId="2" borderId="1" xfId="0" applyFont="1" applyFill="1" applyBorder="1" applyAlignment="1">
      <alignment horizontal="center"/>
    </xf>
    <xf numFmtId="164" fontId="6" fillId="2" borderId="1" xfId="0" applyFont="1" applyFill="1" applyBorder="1" applyAlignment="1">
      <alignment/>
    </xf>
    <xf numFmtId="164" fontId="6" fillId="3" borderId="1" xfId="0" applyFont="1" applyFill="1" applyBorder="1" applyAlignment="1">
      <alignment/>
    </xf>
    <xf numFmtId="164" fontId="1" fillId="3" borderId="1" xfId="0" applyFill="1" applyBorder="1" applyAlignment="1">
      <alignment horizontal="center"/>
    </xf>
    <xf numFmtId="164" fontId="1" fillId="2" borderId="0" xfId="0" applyFont="1" applyFill="1" applyAlignment="1">
      <alignment/>
    </xf>
    <xf numFmtId="164" fontId="5" fillId="0" borderId="1" xfId="0" applyFont="1" applyFill="1" applyBorder="1" applyAlignment="1">
      <alignment horizontal="center"/>
    </xf>
    <xf numFmtId="164" fontId="1" fillId="2" borderId="1" xfId="0" applyFont="1" applyFill="1" applyBorder="1" applyAlignment="1">
      <alignment vertical="top" wrapText="1"/>
    </xf>
    <xf numFmtId="164" fontId="1" fillId="4" borderId="1" xfId="0" applyFont="1" applyFill="1" applyBorder="1" applyAlignment="1">
      <alignment horizontal="center" vertical="top" wrapText="1"/>
    </xf>
    <xf numFmtId="164" fontId="1" fillId="5" borderId="1" xfId="0" applyFont="1" applyFill="1" applyBorder="1" applyAlignment="1">
      <alignment horizontal="center"/>
    </xf>
    <xf numFmtId="164" fontId="6" fillId="2" borderId="1" xfId="0" applyFont="1" applyFill="1" applyBorder="1" applyAlignment="1">
      <alignment horizontal="center" vertical="center" wrapText="1"/>
    </xf>
    <xf numFmtId="164" fontId="1" fillId="2" borderId="1" xfId="0" applyFont="1" applyFill="1" applyBorder="1" applyAlignment="1">
      <alignment horizontal="center" wrapText="1"/>
    </xf>
    <xf numFmtId="164" fontId="6" fillId="4" borderId="1" xfId="0" applyFont="1" applyFill="1" applyBorder="1" applyAlignment="1">
      <alignment horizontal="center"/>
    </xf>
    <xf numFmtId="164" fontId="6" fillId="5" borderId="1" xfId="0" applyFont="1" applyFill="1" applyBorder="1" applyAlignment="1">
      <alignment horizontal="center"/>
    </xf>
    <xf numFmtId="164" fontId="6" fillId="5" borderId="1" xfId="0" applyFont="1" applyFill="1" applyBorder="1" applyAlignment="1">
      <alignment horizontal="center" wrapText="1"/>
    </xf>
    <xf numFmtId="164" fontId="7" fillId="6" borderId="1" xfId="0" applyFont="1" applyFill="1" applyBorder="1" applyAlignment="1">
      <alignment horizontal="center" wrapText="1"/>
    </xf>
    <xf numFmtId="164" fontId="6" fillId="2" borderId="1" xfId="0" applyFont="1" applyFill="1" applyBorder="1" applyAlignment="1">
      <alignment horizontal="center" wrapText="1"/>
    </xf>
    <xf numFmtId="164" fontId="6" fillId="7" borderId="1" xfId="0" applyFont="1" applyFill="1" applyBorder="1" applyAlignment="1">
      <alignment horizontal="center" wrapText="1"/>
    </xf>
    <xf numFmtId="164" fontId="1" fillId="0" borderId="1" xfId="0" applyFont="1" applyBorder="1" applyAlignment="1">
      <alignment horizontal="center" wrapText="1"/>
    </xf>
    <xf numFmtId="164" fontId="1" fillId="0" borderId="0" xfId="0" applyAlignment="1">
      <alignment horizontal="center" wrapText="1"/>
    </xf>
    <xf numFmtId="164" fontId="1" fillId="6" borderId="1" xfId="0" applyFont="1" applyFill="1" applyBorder="1" applyAlignment="1">
      <alignment/>
    </xf>
    <xf numFmtId="164" fontId="1" fillId="6" borderId="0" xfId="0" applyFill="1" applyAlignment="1">
      <alignment/>
    </xf>
    <xf numFmtId="164" fontId="1" fillId="4" borderId="1" xfId="0" applyFont="1" applyFill="1" applyBorder="1" applyAlignment="1">
      <alignment/>
    </xf>
    <xf numFmtId="164" fontId="1" fillId="4" borderId="1" xfId="0" applyFont="1" applyFill="1" applyBorder="1" applyAlignment="1">
      <alignment vertical="top" wrapText="1"/>
    </xf>
    <xf numFmtId="164" fontId="1" fillId="5" borderId="1" xfId="0" applyFill="1" applyBorder="1" applyAlignment="1">
      <alignment/>
    </xf>
    <xf numFmtId="164" fontId="1" fillId="7" borderId="1" xfId="0" applyFill="1" applyBorder="1" applyAlignment="1">
      <alignment horizontal="center"/>
    </xf>
    <xf numFmtId="164" fontId="1" fillId="8" borderId="1" xfId="0" applyFill="1" applyBorder="1" applyAlignment="1">
      <alignment/>
    </xf>
    <xf numFmtId="164" fontId="1" fillId="9" borderId="1" xfId="0" applyFill="1" applyBorder="1" applyAlignment="1">
      <alignment horizontal="center"/>
    </xf>
    <xf numFmtId="164" fontId="1" fillId="0" borderId="1" xfId="0" applyBorder="1" applyAlignment="1">
      <alignment horizontal="center"/>
    </xf>
    <xf numFmtId="164" fontId="8" fillId="0" borderId="1" xfId="0" applyFont="1" applyFill="1" applyBorder="1" applyAlignment="1" applyProtection="1">
      <alignment horizontal="center"/>
      <protection locked="0"/>
    </xf>
    <xf numFmtId="164" fontId="1" fillId="10" borderId="1" xfId="0" applyFont="1" applyFill="1" applyBorder="1" applyAlignment="1">
      <alignment/>
    </xf>
    <xf numFmtId="164" fontId="1" fillId="3" borderId="1" xfId="0" applyFill="1" applyBorder="1" applyAlignment="1">
      <alignment/>
    </xf>
    <xf numFmtId="164" fontId="1" fillId="0" borderId="0" xfId="0" applyAlignment="1">
      <alignment/>
    </xf>
    <xf numFmtId="164" fontId="5" fillId="2" borderId="1" xfId="0" applyFont="1" applyFill="1" applyBorder="1" applyAlignment="1" applyProtection="1">
      <alignment horizontal="center"/>
      <protection/>
    </xf>
    <xf numFmtId="164" fontId="5" fillId="0" borderId="1" xfId="0" applyFont="1" applyBorder="1" applyAlignment="1" applyProtection="1">
      <alignment horizontal="center"/>
      <protection locked="0"/>
    </xf>
    <xf numFmtId="164" fontId="1" fillId="2" borderId="0" xfId="0" applyFill="1" applyAlignment="1" applyProtection="1">
      <alignment/>
      <protection/>
    </xf>
    <xf numFmtId="164" fontId="5" fillId="2" borderId="2" xfId="0" applyFont="1" applyFill="1" applyBorder="1" applyAlignment="1">
      <alignment horizontal="center" vertical="center"/>
    </xf>
    <xf numFmtId="164" fontId="1" fillId="2" borderId="3" xfId="0" applyFill="1" applyBorder="1" applyAlignment="1">
      <alignment/>
    </xf>
    <xf numFmtId="164" fontId="1" fillId="2" borderId="0" xfId="0" applyFont="1" applyFill="1" applyAlignment="1">
      <alignment wrapText="1"/>
    </xf>
    <xf numFmtId="164" fontId="1" fillId="2" borderId="4" xfId="0" applyFont="1" applyFill="1" applyBorder="1" applyAlignment="1">
      <alignment/>
    </xf>
    <xf numFmtId="164" fontId="1" fillId="0" borderId="0" xfId="0" applyFont="1" applyBorder="1" applyAlignment="1">
      <alignment/>
    </xf>
    <xf numFmtId="164" fontId="1" fillId="11" borderId="1" xfId="0" applyFont="1" applyFill="1" applyBorder="1" applyAlignment="1">
      <alignment vertical="top" wrapText="1"/>
    </xf>
    <xf numFmtId="164" fontId="1" fillId="11" borderId="1" xfId="0" applyFill="1" applyBorder="1" applyAlignment="1">
      <alignment/>
    </xf>
    <xf numFmtId="164" fontId="1" fillId="2" borderId="5" xfId="0" applyFont="1" applyFill="1" applyBorder="1" applyAlignment="1">
      <alignment/>
    </xf>
    <xf numFmtId="164" fontId="1" fillId="2" borderId="5" xfId="0" applyFill="1" applyBorder="1" applyAlignment="1">
      <alignment horizontal="center"/>
    </xf>
    <xf numFmtId="164" fontId="5" fillId="0" borderId="5" xfId="0" applyFont="1" applyBorder="1" applyAlignment="1" applyProtection="1">
      <alignment horizontal="center"/>
      <protection locked="0"/>
    </xf>
    <xf numFmtId="164" fontId="1" fillId="0" borderId="5" xfId="0" applyFont="1" applyBorder="1" applyAlignment="1" applyProtection="1">
      <alignment/>
      <protection locked="0"/>
    </xf>
    <xf numFmtId="166" fontId="1" fillId="2" borderId="1" xfId="0" applyNumberFormat="1" applyFill="1" applyBorder="1" applyAlignment="1">
      <alignment/>
    </xf>
    <xf numFmtId="164" fontId="1" fillId="0" borderId="1" xfId="0" applyBorder="1" applyAlignment="1" applyProtection="1">
      <alignment/>
      <protection locked="0"/>
    </xf>
    <xf numFmtId="164" fontId="6" fillId="2" borderId="1" xfId="0" applyFont="1" applyFill="1" applyBorder="1" applyAlignment="1">
      <alignment horizontal="center"/>
    </xf>
    <xf numFmtId="164" fontId="1" fillId="0" borderId="0" xfId="0" applyAlignment="1" applyProtection="1">
      <alignment/>
      <protection locked="0"/>
    </xf>
    <xf numFmtId="166" fontId="1" fillId="2" borderId="1" xfId="0" applyNumberFormat="1" applyFont="1" applyFill="1" applyBorder="1" applyAlignment="1">
      <alignment/>
    </xf>
    <xf numFmtId="164" fontId="5" fillId="2" borderId="0" xfId="0" applyFont="1" applyFill="1" applyAlignment="1">
      <alignment/>
    </xf>
    <xf numFmtId="166" fontId="1" fillId="2" borderId="4" xfId="0" applyNumberFormat="1" applyFill="1" applyBorder="1" applyAlignment="1">
      <alignment/>
    </xf>
    <xf numFmtId="164" fontId="1" fillId="0" borderId="1" xfId="0" applyFont="1" applyBorder="1" applyAlignment="1">
      <alignment/>
    </xf>
    <xf numFmtId="164" fontId="1" fillId="3" borderId="1" xfId="0" applyFont="1" applyFill="1" applyBorder="1" applyAlignment="1">
      <alignment horizontal="right"/>
    </xf>
    <xf numFmtId="164" fontId="1" fillId="3" borderId="0" xfId="0" applyFont="1" applyFill="1" applyAlignment="1">
      <alignment horizontal="center" vertical="center"/>
    </xf>
    <xf numFmtId="164" fontId="1" fillId="0" borderId="0" xfId="0" applyAlignment="1">
      <alignment horizontal="center"/>
    </xf>
    <xf numFmtId="166" fontId="1" fillId="0" borderId="0" xfId="0" applyNumberFormat="1" applyAlignment="1">
      <alignment/>
    </xf>
    <xf numFmtId="166" fontId="1" fillId="0" borderId="0" xfId="0" applyNumberFormat="1" applyFill="1" applyAlignment="1">
      <alignment/>
    </xf>
    <xf numFmtId="164" fontId="9" fillId="0" borderId="0" xfId="0" applyFont="1" applyAlignment="1">
      <alignment/>
    </xf>
    <xf numFmtId="164" fontId="8" fillId="2" borderId="1" xfId="0" applyFont="1" applyFill="1" applyBorder="1" applyAlignment="1">
      <alignment/>
    </xf>
    <xf numFmtId="164" fontId="1" fillId="0" borderId="1" xfId="0" applyFont="1" applyBorder="1" applyAlignment="1">
      <alignment vertical="top" wrapText="1"/>
    </xf>
    <xf numFmtId="164" fontId="1" fillId="0" borderId="1" xfId="0" applyFont="1" applyFill="1" applyBorder="1" applyAlignment="1">
      <alignment/>
    </xf>
    <xf numFmtId="164" fontId="1" fillId="0" borderId="1"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6633"/>
      <rgbColor rgb="000066CC"/>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00CCCC"/>
      <rgbColor rgb="0099CC00"/>
      <rgbColor rgb="00FFCC00"/>
      <rgbColor rgb="00E8591D"/>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0</xdr:rowOff>
    </xdr:from>
    <xdr:to>
      <xdr:col>10</xdr:col>
      <xdr:colOff>485775</xdr:colOff>
      <xdr:row>9</xdr:row>
      <xdr:rowOff>9525</xdr:rowOff>
    </xdr:to>
    <xdr:pic>
      <xdr:nvPicPr>
        <xdr:cNvPr id="1" name="Image 1"/>
        <xdr:cNvPicPr preferRelativeResize="1">
          <a:picLocks noChangeAspect="1"/>
        </xdr:cNvPicPr>
      </xdr:nvPicPr>
      <xdr:blipFill>
        <a:blip r:embed="rId1"/>
        <a:stretch>
          <a:fillRect/>
        </a:stretch>
      </xdr:blipFill>
      <xdr:spPr>
        <a:xfrm>
          <a:off x="0" y="161925"/>
          <a:ext cx="9534525" cy="1304925"/>
        </a:xfrm>
        <a:prstGeom prst="rect">
          <a:avLst/>
        </a:prstGeom>
        <a:blipFill>
          <a:blip r:embed=""/>
          <a:srcRect/>
          <a:stretch>
            <a:fillRect/>
          </a:stretch>
        </a:blipFill>
        <a:ln w="9525" cmpd="sng">
          <a:noFill/>
        </a:ln>
      </xdr:spPr>
    </xdr:pic>
    <xdr:clientData/>
  </xdr:twoCellAnchor>
  <xdr:twoCellAnchor editAs="absolute">
    <xdr:from>
      <xdr:col>0</xdr:col>
      <xdr:colOff>647700</xdr:colOff>
      <xdr:row>11</xdr:row>
      <xdr:rowOff>0</xdr:rowOff>
    </xdr:from>
    <xdr:to>
      <xdr:col>9</xdr:col>
      <xdr:colOff>161925</xdr:colOff>
      <xdr:row>32</xdr:row>
      <xdr:rowOff>152400</xdr:rowOff>
    </xdr:to>
    <xdr:sp fLocksText="0">
      <xdr:nvSpPr>
        <xdr:cNvPr id="2" name="TextBox 2"/>
        <xdr:cNvSpPr txBox="1">
          <a:spLocks noChangeArrowheads="1"/>
        </xdr:cNvSpPr>
      </xdr:nvSpPr>
      <xdr:spPr>
        <a:xfrm>
          <a:off x="647700" y="1781175"/>
          <a:ext cx="7658100" cy="3552825"/>
        </a:xfrm>
        <a:prstGeom prst="rect">
          <a:avLst/>
        </a:prstGeom>
        <a:solidFill>
          <a:srgbClr val="EB613D"/>
        </a:solidFill>
        <a:ln w="9525" cmpd="sng">
          <a:noFill/>
        </a:ln>
      </xdr:spPr>
      <xdr:txBody>
        <a:bodyPr vertOverflow="clip" wrap="square" lIns="72000" tIns="72000" rIns="72000" bIns="72000"/>
        <a:p>
          <a:pPr algn="l">
            <a:defRPr/>
          </a:pPr>
          <a:r>
            <a:rPr lang="en-US" cap="none" sz="1500" b="0" i="0" u="none" baseline="0">
              <a:latin typeface="Times New Roman"/>
              <a:ea typeface="Times New Roman"/>
              <a:cs typeface="Times New Roman"/>
            </a:rPr>
            <a:t>Ceci est une version 3. Elle mérite bien évidemment des modifications, des améliorations.
Vous pouvez me faire part de vos remarques en m'envoyant un mail à cette adresse :
</a:t>
          </a:r>
          <a:r>
            <a:rPr lang="en-US" cap="none" sz="1500" b="0" i="0" u="none" baseline="0">
              <a:solidFill>
                <a:srgbClr val="0000FF"/>
              </a:solidFill>
              <a:latin typeface="Times New Roman"/>
              <a:ea typeface="Times New Roman"/>
              <a:cs typeface="Times New Roman"/>
            </a:rPr>
            <a:t>jp.lagneau@sgen-cfdt-59-62.fr
</a:t>
          </a:r>
          <a:r>
            <a:rPr lang="en-US" cap="none" sz="1500" b="0" i="0" u="none" baseline="0">
              <a:latin typeface="Times New Roman"/>
              <a:ea typeface="Times New Roman"/>
              <a:cs typeface="Times New Roman"/>
            </a:rPr>
            <a:t>
Cette feuille permet de calculer le volume de la marge prof en fonction du nombre de classes de l'établissement.
Il permet ensuite de simuler sa répartition.
Enfin, il permet de connaître l'impact sur la répartition des heures dsciplinaires si vous connaissez le TRMD de votre établissement.
</a:t>
          </a:r>
          <a:r>
            <a:rPr lang="en-US" cap="none" sz="12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314325</xdr:colOff>
      <xdr:row>0</xdr:row>
      <xdr:rowOff>66675</xdr:rowOff>
    </xdr:from>
    <xdr:to>
      <xdr:col>17</xdr:col>
      <xdr:colOff>38100</xdr:colOff>
      <xdr:row>2</xdr:row>
      <xdr:rowOff>114300</xdr:rowOff>
    </xdr:to>
    <xdr:sp>
      <xdr:nvSpPr>
        <xdr:cNvPr id="1" name="AutoShape 1"/>
        <xdr:cNvSpPr>
          <a:spLocks/>
        </xdr:cNvSpPr>
      </xdr:nvSpPr>
      <xdr:spPr>
        <a:xfrm>
          <a:off x="10153650" y="66675"/>
          <a:ext cx="1438275" cy="371475"/>
        </a:xfrm>
        <a:prstGeom prst="wedgeRoundRectCallout">
          <a:avLst>
            <a:gd name="adj1" fmla="val -68240"/>
            <a:gd name="adj2" fmla="val 128504"/>
          </a:avLst>
        </a:prstGeom>
        <a:solidFill>
          <a:srgbClr val="FFFF00"/>
        </a:solidFill>
        <a:ln w="9525" cmpd="sng">
          <a:solidFill>
            <a:srgbClr val="3465A4"/>
          </a:solidFill>
          <a:headEnd type="none"/>
          <a:tailEnd type="none"/>
        </a:ln>
      </xdr:spPr>
      <xdr:txBody>
        <a:bodyPr vertOverflow="clip" wrap="square" lIns="0" tIns="0" rIns="0" bIns="0" anchor="ctr"/>
        <a:p>
          <a:pPr algn="ctr">
            <a:defRPr/>
          </a:pPr>
          <a:r>
            <a:rPr lang="en-US" cap="none" sz="1200" b="0" i="0" u="none" baseline="0"/>
            <a:t>2) Choisir la 
répartition AP EPI</a:t>
          </a:r>
        </a:p>
      </xdr:txBody>
    </xdr:sp>
    <xdr:clientData/>
  </xdr:twoCellAnchor>
  <xdr:twoCellAnchor editAs="absolute">
    <xdr:from>
      <xdr:col>5</xdr:col>
      <xdr:colOff>161925</xdr:colOff>
      <xdr:row>0</xdr:row>
      <xdr:rowOff>104775</xdr:rowOff>
    </xdr:from>
    <xdr:to>
      <xdr:col>8</xdr:col>
      <xdr:colOff>114300</xdr:colOff>
      <xdr:row>2</xdr:row>
      <xdr:rowOff>152400</xdr:rowOff>
    </xdr:to>
    <xdr:sp>
      <xdr:nvSpPr>
        <xdr:cNvPr id="2" name="AutoShape 2"/>
        <xdr:cNvSpPr>
          <a:spLocks/>
        </xdr:cNvSpPr>
      </xdr:nvSpPr>
      <xdr:spPr>
        <a:xfrm>
          <a:off x="4419600" y="104775"/>
          <a:ext cx="1381125" cy="371475"/>
        </a:xfrm>
        <a:prstGeom prst="wedgeRoundRectCallout">
          <a:avLst>
            <a:gd name="adj1" fmla="val -61537"/>
            <a:gd name="adj2" fmla="val 87847"/>
          </a:avLst>
        </a:prstGeom>
        <a:solidFill>
          <a:srgbClr val="FFFF00"/>
        </a:solidFill>
        <a:ln w="9525" cmpd="sng">
          <a:solidFill>
            <a:srgbClr val="3465A4"/>
          </a:solidFill>
          <a:headEnd type="none"/>
          <a:tailEnd type="none"/>
        </a:ln>
      </xdr:spPr>
      <xdr:txBody>
        <a:bodyPr vertOverflow="clip" wrap="square" lIns="0" tIns="0" rIns="0" bIns="0" anchor="ctr"/>
        <a:p>
          <a:pPr algn="ctr">
            <a:defRPr/>
          </a:pPr>
          <a:r>
            <a:rPr lang="en-US" cap="none" sz="1200" b="0" i="0" u="none" baseline="0"/>
            <a:t>1) renseigner le 
nombre de classes</a:t>
          </a:r>
        </a:p>
      </xdr:txBody>
    </xdr:sp>
    <xdr:clientData/>
  </xdr:twoCellAnchor>
  <xdr:twoCellAnchor editAs="absolute">
    <xdr:from>
      <xdr:col>9</xdr:col>
      <xdr:colOff>28575</xdr:colOff>
      <xdr:row>10</xdr:row>
      <xdr:rowOff>57150</xdr:rowOff>
    </xdr:from>
    <xdr:to>
      <xdr:col>11</xdr:col>
      <xdr:colOff>104775</xdr:colOff>
      <xdr:row>12</xdr:row>
      <xdr:rowOff>104775</xdr:rowOff>
    </xdr:to>
    <xdr:sp>
      <xdr:nvSpPr>
        <xdr:cNvPr id="3" name="AutoShape 3"/>
        <xdr:cNvSpPr>
          <a:spLocks/>
        </xdr:cNvSpPr>
      </xdr:nvSpPr>
      <xdr:spPr>
        <a:xfrm>
          <a:off x="6191250" y="1676400"/>
          <a:ext cx="1628775" cy="371475"/>
        </a:xfrm>
        <a:prstGeom prst="wedgeRoundRectCallout">
          <a:avLst>
            <a:gd name="adj1" fmla="val -213467"/>
            <a:gd name="adj2" fmla="val 46"/>
          </a:avLst>
        </a:prstGeom>
        <a:solidFill>
          <a:srgbClr val="00FF00"/>
        </a:solidFill>
        <a:ln w="9525" cmpd="sng">
          <a:solidFill>
            <a:srgbClr val="3465A4"/>
          </a:solidFill>
          <a:headEnd type="none"/>
          <a:tailEnd type="none"/>
        </a:ln>
      </xdr:spPr>
      <xdr:txBody>
        <a:bodyPr vertOverflow="clip" wrap="square" lIns="0" tIns="0" rIns="0" bIns="0" anchor="ctr"/>
        <a:p>
          <a:pPr algn="ctr">
            <a:defRPr/>
          </a:pPr>
          <a:r>
            <a:rPr lang="en-US" cap="none" sz="1200" b="0" i="0" u="none" baseline="0"/>
            <a:t>Renseigner la dotation 
compl émentaire</a:t>
          </a:r>
        </a:p>
      </xdr:txBody>
    </xdr:sp>
    <xdr:clientData/>
  </xdr:twoCellAnchor>
  <xdr:twoCellAnchor editAs="absolute">
    <xdr:from>
      <xdr:col>11</xdr:col>
      <xdr:colOff>200025</xdr:colOff>
      <xdr:row>9</xdr:row>
      <xdr:rowOff>28575</xdr:rowOff>
    </xdr:from>
    <xdr:to>
      <xdr:col>14</xdr:col>
      <xdr:colOff>266700</xdr:colOff>
      <xdr:row>11</xdr:row>
      <xdr:rowOff>76200</xdr:rowOff>
    </xdr:to>
    <xdr:sp>
      <xdr:nvSpPr>
        <xdr:cNvPr id="4" name="AutoShape 4"/>
        <xdr:cNvSpPr>
          <a:spLocks/>
        </xdr:cNvSpPr>
      </xdr:nvSpPr>
      <xdr:spPr>
        <a:xfrm>
          <a:off x="7915275" y="1485900"/>
          <a:ext cx="1666875" cy="371475"/>
        </a:xfrm>
        <a:prstGeom prst="wedgeRoundRectCallout">
          <a:avLst>
            <a:gd name="adj1" fmla="val -77037"/>
            <a:gd name="adj2" fmla="val 231893"/>
          </a:avLst>
        </a:prstGeom>
        <a:solidFill>
          <a:srgbClr val="00FF00"/>
        </a:solidFill>
        <a:ln w="9525" cmpd="sng">
          <a:solidFill>
            <a:srgbClr val="3465A4"/>
          </a:solidFill>
          <a:headEnd type="none"/>
          <a:tailEnd type="none"/>
        </a:ln>
      </xdr:spPr>
      <xdr:txBody>
        <a:bodyPr vertOverflow="clip" wrap="square" lIns="0" tIns="0" rIns="0" bIns="0" anchor="ctr"/>
        <a:p>
          <a:pPr algn="ctr">
            <a:defRPr/>
          </a:pPr>
          <a:r>
            <a:rPr lang="en-US" cap="none" sz="1200" b="0" i="0" u="none" baseline="0"/>
            <a:t>1)Remplir la colonne
 avec les heures prof</a:t>
          </a:r>
        </a:p>
      </xdr:txBody>
    </xdr:sp>
    <xdr:clientData/>
  </xdr:twoCellAnchor>
  <xdr:twoCellAnchor editAs="absolute">
    <xdr:from>
      <xdr:col>25</xdr:col>
      <xdr:colOff>171450</xdr:colOff>
      <xdr:row>10</xdr:row>
      <xdr:rowOff>95250</xdr:rowOff>
    </xdr:from>
    <xdr:to>
      <xdr:col>29</xdr:col>
      <xdr:colOff>247650</xdr:colOff>
      <xdr:row>12</xdr:row>
      <xdr:rowOff>142875</xdr:rowOff>
    </xdr:to>
    <xdr:sp>
      <xdr:nvSpPr>
        <xdr:cNvPr id="5" name="AutoShape 5"/>
        <xdr:cNvSpPr>
          <a:spLocks/>
        </xdr:cNvSpPr>
      </xdr:nvSpPr>
      <xdr:spPr>
        <a:xfrm>
          <a:off x="16097250" y="1714500"/>
          <a:ext cx="1752600" cy="371475"/>
        </a:xfrm>
        <a:prstGeom prst="wedgeRoundRectCallout">
          <a:avLst>
            <a:gd name="adj1" fmla="val -74055"/>
            <a:gd name="adj2" fmla="val 156291"/>
          </a:avLst>
        </a:prstGeom>
        <a:solidFill>
          <a:srgbClr val="00FF00"/>
        </a:solidFill>
        <a:ln w="9525" cmpd="sng">
          <a:solidFill>
            <a:srgbClr val="3465A4"/>
          </a:solidFill>
          <a:headEnd type="none"/>
          <a:tailEnd type="none"/>
        </a:ln>
      </xdr:spPr>
      <xdr:txBody>
        <a:bodyPr vertOverflow="clip" wrap="square" lIns="0" tIns="0" rIns="0" bIns="0" anchor="ctr"/>
        <a:p>
          <a:pPr algn="ctr">
            <a:defRPr/>
          </a:pPr>
          <a:r>
            <a:rPr lang="en-US" cap="none" sz="1200" b="0" i="0" u="none" baseline="0"/>
            <a:t>1)Remplir les cellules
 avec les heures prof</a:t>
          </a:r>
        </a:p>
      </xdr:txBody>
    </xdr:sp>
    <xdr:clientData/>
  </xdr:twoCellAnchor>
  <xdr:twoCellAnchor editAs="absolute">
    <xdr:from>
      <xdr:col>12</xdr:col>
      <xdr:colOff>266700</xdr:colOff>
      <xdr:row>56</xdr:row>
      <xdr:rowOff>47625</xdr:rowOff>
    </xdr:from>
    <xdr:to>
      <xdr:col>17</xdr:col>
      <xdr:colOff>581025</xdr:colOff>
      <xdr:row>59</xdr:row>
      <xdr:rowOff>123825</xdr:rowOff>
    </xdr:to>
    <xdr:sp>
      <xdr:nvSpPr>
        <xdr:cNvPr id="6" name="AutoShape 6"/>
        <xdr:cNvSpPr>
          <a:spLocks/>
        </xdr:cNvSpPr>
      </xdr:nvSpPr>
      <xdr:spPr>
        <a:xfrm>
          <a:off x="8382000" y="9734550"/>
          <a:ext cx="3752850" cy="561975"/>
        </a:xfrm>
        <a:prstGeom prst="borderCallout1">
          <a:avLst>
            <a:gd name="adj1" fmla="val -35388"/>
            <a:gd name="adj2" fmla="val -166643"/>
            <a:gd name="adj3" fmla="val -52694"/>
            <a:gd name="adj4" fmla="val -14740"/>
          </a:avLst>
        </a:prstGeom>
        <a:solidFill>
          <a:srgbClr val="FFFF00"/>
        </a:solidFill>
        <a:ln w="36000" cmpd="sng">
          <a:solidFill>
            <a:srgbClr val="3465A4"/>
          </a:solidFill>
          <a:headEnd type="none"/>
          <a:tailEnd type="none"/>
        </a:ln>
      </xdr:spPr>
      <xdr:txBody>
        <a:bodyPr vertOverflow="clip" wrap="square" lIns="18000" tIns="18000" rIns="18000" bIns="18000" anchor="ctr"/>
        <a:p>
          <a:pPr algn="ctr">
            <a:defRPr/>
          </a:pPr>
          <a:r>
            <a:rPr lang="en-US" cap="none" sz="1200" b="0" i="0" u="none" baseline="0"/>
            <a:t>Demi classe : nb groupe = 2 xnb classes
Co-animation : nb groupe = 2 xnb classes
Groupes allégés : fonction de la répartition</a:t>
          </a:r>
        </a:p>
      </xdr:txBody>
    </xdr:sp>
    <xdr:clientData/>
  </xdr:twoCellAnchor>
  <xdr:twoCellAnchor editAs="absolute">
    <xdr:from>
      <xdr:col>18</xdr:col>
      <xdr:colOff>142875</xdr:colOff>
      <xdr:row>25</xdr:row>
      <xdr:rowOff>114300</xdr:rowOff>
    </xdr:from>
    <xdr:to>
      <xdr:col>21</xdr:col>
      <xdr:colOff>85725</xdr:colOff>
      <xdr:row>28</xdr:row>
      <xdr:rowOff>0</xdr:rowOff>
    </xdr:to>
    <xdr:sp>
      <xdr:nvSpPr>
        <xdr:cNvPr id="7" name="AutoShape 7"/>
        <xdr:cNvSpPr>
          <a:spLocks/>
        </xdr:cNvSpPr>
      </xdr:nvSpPr>
      <xdr:spPr>
        <a:xfrm>
          <a:off x="12611100" y="4552950"/>
          <a:ext cx="1724025" cy="371475"/>
        </a:xfrm>
        <a:prstGeom prst="wedgeRoundRectCallout">
          <a:avLst>
            <a:gd name="adj1" fmla="val -55347"/>
            <a:gd name="adj2" fmla="val 71875"/>
          </a:avLst>
        </a:prstGeom>
        <a:solidFill>
          <a:srgbClr val="FFFF00"/>
        </a:solidFill>
        <a:ln w="9525" cmpd="sng">
          <a:solidFill>
            <a:srgbClr val="3465A4"/>
          </a:solidFill>
          <a:headEnd type="none"/>
          <a:tailEnd type="none"/>
        </a:ln>
      </xdr:spPr>
      <xdr:txBody>
        <a:bodyPr vertOverflow="clip" wrap="square" lIns="0" tIns="0" rIns="0" bIns="0" anchor="ctr"/>
        <a:p>
          <a:pPr algn="ctr">
            <a:defRPr/>
          </a:pPr>
          <a:r>
            <a:rPr lang="en-US" cap="none" sz="1200" b="0" i="0" u="none" baseline="0"/>
            <a:t>3) vous avez la marge
 et le reste</a:t>
          </a:r>
        </a:p>
      </xdr:txBody>
    </xdr:sp>
    <xdr:clientData/>
  </xdr:twoCellAnchor>
  <xdr:twoCellAnchor editAs="absolute">
    <xdr:from>
      <xdr:col>21</xdr:col>
      <xdr:colOff>28575</xdr:colOff>
      <xdr:row>28</xdr:row>
      <xdr:rowOff>123825</xdr:rowOff>
    </xdr:from>
    <xdr:to>
      <xdr:col>29</xdr:col>
      <xdr:colOff>190500</xdr:colOff>
      <xdr:row>31</xdr:row>
      <xdr:rowOff>9525</xdr:rowOff>
    </xdr:to>
    <xdr:sp>
      <xdr:nvSpPr>
        <xdr:cNvPr id="8" name="Rectangle 8"/>
        <xdr:cNvSpPr>
          <a:spLocks/>
        </xdr:cNvSpPr>
      </xdr:nvSpPr>
      <xdr:spPr>
        <a:xfrm>
          <a:off x="14277975" y="5048250"/>
          <a:ext cx="3514725" cy="371475"/>
        </a:xfrm>
        <a:prstGeom prst="rect">
          <a:avLst/>
        </a:prstGeom>
        <a:solidFill>
          <a:srgbClr val="FFFF00"/>
        </a:solidFill>
        <a:ln w="9525" cmpd="sng">
          <a:solidFill>
            <a:srgbClr val="3465A4"/>
          </a:solidFill>
          <a:headEnd type="none"/>
          <a:tailEnd type="none"/>
        </a:ln>
      </xdr:spPr>
      <xdr:txBody>
        <a:bodyPr vertOverflow="clip" wrap="square" lIns="0" tIns="0" rIns="0" bIns="0" anchor="ctr"/>
        <a:p>
          <a:pPr algn="ctr">
            <a:defRPr/>
          </a:pPr>
          <a:r>
            <a:rPr lang="en-US" cap="none" sz="1200" b="0" i="0" u="none" baseline="0"/>
            <a:t>4) Placer les codes matières 
dans le tableau en fonction de votre projet</a:t>
          </a:r>
        </a:p>
      </xdr:txBody>
    </xdr:sp>
    <xdr:clientData/>
  </xdr:twoCellAnchor>
  <xdr:twoCellAnchor editAs="absolute">
    <xdr:from>
      <xdr:col>19</xdr:col>
      <xdr:colOff>247650</xdr:colOff>
      <xdr:row>56</xdr:row>
      <xdr:rowOff>104775</xdr:rowOff>
    </xdr:from>
    <xdr:to>
      <xdr:col>28</xdr:col>
      <xdr:colOff>209550</xdr:colOff>
      <xdr:row>61</xdr:row>
      <xdr:rowOff>123825</xdr:rowOff>
    </xdr:to>
    <xdr:sp>
      <xdr:nvSpPr>
        <xdr:cNvPr id="9" name="AutoShape 9"/>
        <xdr:cNvSpPr>
          <a:spLocks/>
        </xdr:cNvSpPr>
      </xdr:nvSpPr>
      <xdr:spPr>
        <a:xfrm>
          <a:off x="13658850" y="9791700"/>
          <a:ext cx="3733800" cy="828675"/>
        </a:xfrm>
        <a:prstGeom prst="borderCallout1">
          <a:avLst>
            <a:gd name="adj1" fmla="val -35388"/>
            <a:gd name="adj2" fmla="val -130032"/>
            <a:gd name="adj3" fmla="val -52694"/>
            <a:gd name="adj4" fmla="val -25810"/>
          </a:avLst>
        </a:prstGeom>
        <a:solidFill>
          <a:srgbClr val="FFFF00"/>
        </a:solidFill>
        <a:ln w="36000" cmpd="sng">
          <a:solidFill>
            <a:srgbClr val="3465A4"/>
          </a:solidFill>
          <a:headEnd type="none"/>
          <a:tailEnd type="none"/>
        </a:ln>
      </xdr:spPr>
      <xdr:txBody>
        <a:bodyPr vertOverflow="clip" wrap="square" lIns="18000" tIns="18000" rIns="18000" bIns="18000" anchor="ctr"/>
        <a:p>
          <a:pPr algn="ctr">
            <a:defRPr/>
          </a:pPr>
          <a:r>
            <a:rPr lang="en-US" cap="none" sz="1200" b="0" i="0" u="none" baseline="0"/>
            <a:t>Si vous avez des répartitions différentes
 en temps selon les matières ou si vous avez des EPI
 de plus d'une heure rentrez le volume
 horaire de la discipline</a:t>
          </a:r>
        </a:p>
      </xdr:txBody>
    </xdr:sp>
    <xdr:clientData/>
  </xdr:twoCellAnchor>
  <xdr:twoCellAnchor editAs="absolute">
    <xdr:from>
      <xdr:col>8</xdr:col>
      <xdr:colOff>361950</xdr:colOff>
      <xdr:row>29</xdr:row>
      <xdr:rowOff>9525</xdr:rowOff>
    </xdr:from>
    <xdr:to>
      <xdr:col>10</xdr:col>
      <xdr:colOff>847725</xdr:colOff>
      <xdr:row>31</xdr:row>
      <xdr:rowOff>57150</xdr:rowOff>
    </xdr:to>
    <xdr:sp>
      <xdr:nvSpPr>
        <xdr:cNvPr id="10" name="AutoShape 10"/>
        <xdr:cNvSpPr>
          <a:spLocks/>
        </xdr:cNvSpPr>
      </xdr:nvSpPr>
      <xdr:spPr>
        <a:xfrm>
          <a:off x="6048375" y="5095875"/>
          <a:ext cx="1438275" cy="371475"/>
        </a:xfrm>
        <a:prstGeom prst="wedgeRoundRectCallout">
          <a:avLst>
            <a:gd name="adj1" fmla="val -78412"/>
            <a:gd name="adj2" fmla="val -28222"/>
          </a:avLst>
        </a:prstGeom>
        <a:solidFill>
          <a:srgbClr val="FFFF00"/>
        </a:solidFill>
        <a:ln w="9525" cmpd="sng">
          <a:solidFill>
            <a:srgbClr val="3465A4"/>
          </a:solidFill>
          <a:headEnd type="none"/>
          <a:tailEnd type="none"/>
        </a:ln>
      </xdr:spPr>
      <xdr:txBody>
        <a:bodyPr vertOverflow="clip" wrap="square" lIns="0" tIns="0" rIns="0" bIns="0" anchor="ctr"/>
        <a:p>
          <a:pPr algn="ctr">
            <a:defRPr/>
          </a:pPr>
          <a:r>
            <a:rPr lang="en-US" cap="none" sz="1200" b="0" i="0" u="none" baseline="0"/>
            <a:t>2) nb groupe latin</a:t>
          </a:r>
        </a:p>
      </xdr:txBody>
    </xdr:sp>
    <xdr:clientData/>
  </xdr:twoCellAnchor>
  <xdr:twoCellAnchor editAs="absolute">
    <xdr:from>
      <xdr:col>17</xdr:col>
      <xdr:colOff>400050</xdr:colOff>
      <xdr:row>1</xdr:row>
      <xdr:rowOff>76200</xdr:rowOff>
    </xdr:from>
    <xdr:to>
      <xdr:col>26</xdr:col>
      <xdr:colOff>114300</xdr:colOff>
      <xdr:row>9</xdr:row>
      <xdr:rowOff>142875</xdr:rowOff>
    </xdr:to>
    <xdr:sp fLocksText="0">
      <xdr:nvSpPr>
        <xdr:cNvPr id="11" name="TextBox 11"/>
        <xdr:cNvSpPr txBox="1">
          <a:spLocks noChangeArrowheads="1"/>
        </xdr:cNvSpPr>
      </xdr:nvSpPr>
      <xdr:spPr>
        <a:xfrm>
          <a:off x="11953875" y="238125"/>
          <a:ext cx="4505325" cy="1362075"/>
        </a:xfrm>
        <a:prstGeom prst="rect">
          <a:avLst/>
        </a:prstGeom>
        <a:solidFill>
          <a:srgbClr val="00FFFF"/>
        </a:solidFill>
        <a:ln w="9525" cmpd="sng">
          <a:solidFill>
            <a:srgbClr val="000000"/>
          </a:solidFill>
          <a:headEnd type="none"/>
          <a:tailEnd type="none"/>
        </a:ln>
      </xdr:spPr>
      <xdr:txBody>
        <a:bodyPr vertOverflow="clip" wrap="square" lIns="72000" tIns="72000" rIns="72000" bIns="72000"/>
        <a:p>
          <a:pPr algn="l">
            <a:defRPr/>
          </a:pPr>
          <a:r>
            <a:rPr lang="en-US" cap="none" sz="1200" b="0" i="0" u="none" baseline="0"/>
            <a:t>En jaune les éléments à rentrer pour travailler sur la marge prof.
En vert, ceux qui permettent de voir l'influence sur le VS des profs, indiquer les chiffre du TRMD.
Les cellules à compléter sont blanches.</a:t>
          </a:r>
        </a:p>
      </xdr:txBody>
    </xdr:sp>
    <xdr:clientData/>
  </xdr:twoCellAnchor>
  <xdr:twoCellAnchor editAs="absolute">
    <xdr:from>
      <xdr:col>0</xdr:col>
      <xdr:colOff>1152525</xdr:colOff>
      <xdr:row>31</xdr:row>
      <xdr:rowOff>219075</xdr:rowOff>
    </xdr:from>
    <xdr:to>
      <xdr:col>8</xdr:col>
      <xdr:colOff>295275</xdr:colOff>
      <xdr:row>33</xdr:row>
      <xdr:rowOff>47625</xdr:rowOff>
    </xdr:to>
    <xdr:sp>
      <xdr:nvSpPr>
        <xdr:cNvPr id="12" name="AutoShape 12"/>
        <xdr:cNvSpPr>
          <a:spLocks/>
        </xdr:cNvSpPr>
      </xdr:nvSpPr>
      <xdr:spPr>
        <a:xfrm>
          <a:off x="1152525" y="5629275"/>
          <a:ext cx="4829175" cy="381000"/>
        </a:xfrm>
        <a:prstGeom prst="wedgeRoundRectCallout">
          <a:avLst>
            <a:gd name="adj1" fmla="val -3824"/>
            <a:gd name="adj2" fmla="val -102078"/>
          </a:avLst>
        </a:prstGeom>
        <a:solidFill>
          <a:srgbClr val="FFFF00"/>
        </a:solidFill>
        <a:ln w="9525" cmpd="sng">
          <a:solidFill>
            <a:srgbClr val="3465A4"/>
          </a:solidFill>
          <a:headEnd type="none"/>
          <a:tailEnd type="none"/>
        </a:ln>
      </xdr:spPr>
      <xdr:txBody>
        <a:bodyPr vertOverflow="clip" wrap="square" lIns="0" tIns="0" rIns="0" bIns="0" anchor="ctr"/>
        <a:p>
          <a:pPr algn="ctr">
            <a:defRPr/>
          </a:pPr>
          <a:r>
            <a:rPr lang="en-US" cap="none" sz="1200" b="0" i="0" u="none" baseline="0"/>
            <a:t>On peut remplacer la formule par un chiffre si besoin.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zoomScale="85" zoomScaleNormal="85" workbookViewId="0" topLeftCell="A1">
      <selection activeCell="F40" sqref="F40"/>
    </sheetView>
  </sheetViews>
  <sheetFormatPr defaultColWidth="12.00390625" defaultRowHeight="12.75"/>
  <cols>
    <col min="1" max="1" width="11.875" style="0" customWidth="1"/>
    <col min="2" max="16384" width="11.875" style="0" customWidth="1"/>
  </cols>
  <sheetData/>
  <sheetProtection selectLockedCells="1" selectUnlockedCells="1"/>
  <printOptions/>
  <pageMargins left="0.7875" right="0.7875" top="1.025" bottom="1.025" header="0.7875" footer="0.7875"/>
  <pageSetup firstPageNumber="1" useFirstPageNumber="1" horizontalDpi="300" verticalDpi="300" orientation="portrait" paperSize="9"/>
  <headerFooter alignWithMargins="0">
    <oddHeader>&amp;C&amp;"Arial,Normal"&amp;A</oddHeader>
    <oddFooter>&amp;C&amp;"Arial,Normal"Page &amp;P</oddFooter>
  </headerFooter>
  <drawing r:id="rId1"/>
</worksheet>
</file>

<file path=xl/worksheets/sheet2.xml><?xml version="1.0" encoding="utf-8"?>
<worksheet xmlns="http://schemas.openxmlformats.org/spreadsheetml/2006/main" xmlns:r="http://schemas.openxmlformats.org/officeDocument/2006/relationships">
  <dimension ref="A3:AC74"/>
  <sheetViews>
    <sheetView tabSelected="1" zoomScale="85" zoomScaleNormal="85" workbookViewId="0" topLeftCell="A1">
      <selection activeCell="K65" sqref="K65"/>
    </sheetView>
  </sheetViews>
  <sheetFormatPr defaultColWidth="12.00390625" defaultRowHeight="12.75"/>
  <cols>
    <col min="1" max="1" width="30.875" style="0" customWidth="1"/>
    <col min="2" max="10" width="6.25390625" style="0" customWidth="1"/>
    <col min="11" max="11" width="14.125" style="0" customWidth="1"/>
    <col min="12" max="12" width="5.25390625" style="0" customWidth="1"/>
    <col min="13" max="13" width="7.375" style="0" customWidth="1"/>
    <col min="14" max="14" width="8.375" style="0" customWidth="1"/>
    <col min="15" max="15" width="6.875" style="0" customWidth="1"/>
    <col min="16" max="16" width="10.875" style="0" customWidth="1"/>
    <col min="17" max="17" width="11.625" style="0" customWidth="1"/>
    <col min="18" max="18" width="12.00390625" style="0" customWidth="1"/>
    <col min="19" max="19" width="12.375" style="0" customWidth="1"/>
    <col min="20" max="29" width="5.50390625" style="0" customWidth="1"/>
    <col min="30" max="16384" width="11.875" style="0" customWidth="1"/>
  </cols>
  <sheetData>
    <row r="1" s="1" customFormat="1" ht="12.75"/>
    <row r="3" spans="1:15" ht="12.75">
      <c r="A3" s="2" t="s">
        <v>0</v>
      </c>
      <c r="B3" s="3" t="s">
        <v>1</v>
      </c>
      <c r="C3" s="3" t="s">
        <v>2</v>
      </c>
      <c r="D3" s="3" t="s">
        <v>3</v>
      </c>
      <c r="E3" s="3" t="s">
        <v>4</v>
      </c>
      <c r="K3" s="4" t="s">
        <v>5</v>
      </c>
      <c r="L3" s="4"/>
      <c r="M3" s="4"/>
      <c r="N3" s="4"/>
      <c r="O3" s="4"/>
    </row>
    <row r="4" spans="1:15" ht="12.75">
      <c r="A4" s="2" t="s">
        <v>6</v>
      </c>
      <c r="B4" s="5">
        <v>8</v>
      </c>
      <c r="C4" s="5">
        <v>9</v>
      </c>
      <c r="D4" s="5">
        <v>8</v>
      </c>
      <c r="E4" s="5">
        <v>8</v>
      </c>
      <c r="K4" s="6" t="s">
        <v>7</v>
      </c>
      <c r="L4" s="3">
        <v>6</v>
      </c>
      <c r="M4" s="3">
        <v>5</v>
      </c>
      <c r="N4" s="3">
        <v>4</v>
      </c>
      <c r="O4" s="3">
        <v>3</v>
      </c>
    </row>
    <row r="5" spans="1:15" ht="12.75">
      <c r="A5" s="2" t="s">
        <v>8</v>
      </c>
      <c r="B5" s="6">
        <v>26</v>
      </c>
      <c r="C5" s="6">
        <v>26</v>
      </c>
      <c r="D5" s="6">
        <v>26</v>
      </c>
      <c r="E5" s="6">
        <v>26</v>
      </c>
      <c r="K5" s="6" t="s">
        <v>9</v>
      </c>
      <c r="L5" s="7">
        <v>3</v>
      </c>
      <c r="M5" s="5">
        <v>2</v>
      </c>
      <c r="N5" s="5">
        <v>1</v>
      </c>
      <c r="O5" s="5">
        <v>1</v>
      </c>
    </row>
    <row r="6" spans="1:15" ht="12.75">
      <c r="A6" s="2" t="s">
        <v>10</v>
      </c>
      <c r="B6" s="6">
        <v>2.75</v>
      </c>
      <c r="C6" s="6">
        <v>2.75</v>
      </c>
      <c r="D6" s="6">
        <v>2.75</v>
      </c>
      <c r="E6" s="6">
        <v>2.75</v>
      </c>
      <c r="F6" s="8" t="s">
        <v>11</v>
      </c>
      <c r="G6" s="9" t="s">
        <v>12</v>
      </c>
      <c r="H6" s="8" t="s">
        <v>13</v>
      </c>
      <c r="I6" t="s">
        <v>14</v>
      </c>
      <c r="K6" s="6" t="s">
        <v>15</v>
      </c>
      <c r="L6" s="3">
        <v>0</v>
      </c>
      <c r="M6" s="3">
        <f>4-M5</f>
        <v>2</v>
      </c>
      <c r="N6" s="3">
        <f>4-N5</f>
        <v>3</v>
      </c>
      <c r="O6" s="3">
        <f>4-O5</f>
        <v>3</v>
      </c>
    </row>
    <row r="7" spans="1:15" ht="12.75">
      <c r="A7" s="2" t="s">
        <v>16</v>
      </c>
      <c r="B7" s="6">
        <f>(B5+B6)*B4</f>
        <v>230</v>
      </c>
      <c r="C7" s="6">
        <f>(C5+C6)*C4</f>
        <v>258.75</v>
      </c>
      <c r="D7" s="6">
        <f>(D5+D6)*D4</f>
        <v>230</v>
      </c>
      <c r="E7" s="6">
        <f>(E5+E6)*E4</f>
        <v>230</v>
      </c>
      <c r="F7" s="3">
        <f>SUM(B7:E7)</f>
        <v>948.75</v>
      </c>
      <c r="G7" s="10">
        <f>SUM(B4:E4)*2.75</f>
        <v>90.75</v>
      </c>
      <c r="H7" s="6">
        <f>F7-G7</f>
        <v>858</v>
      </c>
      <c r="K7" s="6" t="s">
        <v>17</v>
      </c>
      <c r="L7" s="3">
        <f>L5+L6</f>
        <v>3</v>
      </c>
      <c r="M7" s="3">
        <f>M5+M6</f>
        <v>4</v>
      </c>
      <c r="N7" s="3">
        <f>N5+N6</f>
        <v>4</v>
      </c>
      <c r="O7" s="3">
        <f>O5+O6</f>
        <v>4</v>
      </c>
    </row>
    <row r="10" spans="1:9" ht="12.75">
      <c r="A10" s="2" t="s">
        <v>18</v>
      </c>
      <c r="B10" s="3" t="s">
        <v>19</v>
      </c>
      <c r="C10" s="3" t="s">
        <v>20</v>
      </c>
      <c r="D10" s="3" t="s">
        <v>21</v>
      </c>
      <c r="E10" s="6" t="s">
        <v>22</v>
      </c>
      <c r="F10" s="6" t="s">
        <v>23</v>
      </c>
      <c r="G10" s="3" t="s">
        <v>24</v>
      </c>
      <c r="H10" s="3" t="s">
        <v>25</v>
      </c>
      <c r="I10" s="11" t="s">
        <v>26</v>
      </c>
    </row>
    <row r="11" spans="1:9" ht="12.75">
      <c r="A11" s="6"/>
      <c r="B11" s="12">
        <v>21</v>
      </c>
      <c r="C11" s="12">
        <v>25</v>
      </c>
      <c r="D11" s="12">
        <v>1</v>
      </c>
      <c r="E11" s="12">
        <v>1</v>
      </c>
      <c r="F11" s="12">
        <v>2</v>
      </c>
      <c r="G11" s="3">
        <f>B11+C11+D11+E11+F11</f>
        <v>50</v>
      </c>
      <c r="H11" s="3">
        <f>G11+F7</f>
        <v>998.75</v>
      </c>
      <c r="I11" s="11">
        <v>984.2</v>
      </c>
    </row>
    <row r="14" spans="1:25" ht="12.75" customHeight="1">
      <c r="A14" s="13" t="s">
        <v>27</v>
      </c>
      <c r="B14" s="14" t="s">
        <v>28</v>
      </c>
      <c r="C14" s="14"/>
      <c r="D14" s="14"/>
      <c r="E14" s="14"/>
      <c r="F14" s="15" t="s">
        <v>29</v>
      </c>
      <c r="G14" s="15"/>
      <c r="H14" s="15"/>
      <c r="I14" s="15"/>
      <c r="J14" s="15"/>
      <c r="T14" s="16" t="s">
        <v>30</v>
      </c>
      <c r="U14" s="16"/>
      <c r="V14" s="4" t="s">
        <v>31</v>
      </c>
      <c r="W14" s="4"/>
      <c r="X14" s="16" t="s">
        <v>32</v>
      </c>
      <c r="Y14" s="16"/>
    </row>
    <row r="15" spans="1:29" s="25" customFormat="1" ht="33.75">
      <c r="A15" s="17"/>
      <c r="B15" s="18" t="s">
        <v>1</v>
      </c>
      <c r="C15" s="18" t="s">
        <v>2</v>
      </c>
      <c r="D15" s="18" t="s">
        <v>3</v>
      </c>
      <c r="E15" s="18" t="s">
        <v>4</v>
      </c>
      <c r="F15" s="19" t="s">
        <v>1</v>
      </c>
      <c r="G15" s="19" t="s">
        <v>2</v>
      </c>
      <c r="H15" s="19" t="s">
        <v>3</v>
      </c>
      <c r="I15" s="19" t="s">
        <v>4</v>
      </c>
      <c r="J15" s="20" t="s">
        <v>17</v>
      </c>
      <c r="K15" s="21" t="s">
        <v>33</v>
      </c>
      <c r="L15" s="22" t="s">
        <v>9</v>
      </c>
      <c r="M15" s="22" t="s">
        <v>15</v>
      </c>
      <c r="N15" s="22" t="s">
        <v>34</v>
      </c>
      <c r="O15" s="22" t="s">
        <v>35</v>
      </c>
      <c r="P15" s="23" t="s">
        <v>36</v>
      </c>
      <c r="Q15" s="24" t="s">
        <v>37</v>
      </c>
      <c r="S15" s="22"/>
      <c r="T15" s="26" t="s">
        <v>33</v>
      </c>
      <c r="U15" s="26">
        <f>K21</f>
        <v>108</v>
      </c>
      <c r="V15" s="27"/>
      <c r="W15" s="5">
        <v>36</v>
      </c>
      <c r="X15" s="27"/>
      <c r="Y15" s="5">
        <v>36</v>
      </c>
      <c r="Z15" s="22" t="s">
        <v>38</v>
      </c>
      <c r="AA15" s="22" t="s">
        <v>39</v>
      </c>
      <c r="AB15" s="22" t="s">
        <v>40</v>
      </c>
      <c r="AC15" s="22" t="s">
        <v>41</v>
      </c>
    </row>
    <row r="16" spans="1:29" ht="22.5">
      <c r="A16" s="13" t="s">
        <v>42</v>
      </c>
      <c r="B16" s="28">
        <v>4</v>
      </c>
      <c r="C16" s="29">
        <v>3</v>
      </c>
      <c r="D16" s="29">
        <v>3</v>
      </c>
      <c r="E16" s="29">
        <v>3</v>
      </c>
      <c r="F16" s="30">
        <f>$B$4*B16</f>
        <v>32</v>
      </c>
      <c r="G16" s="30">
        <f>$C$4*C16</f>
        <v>27</v>
      </c>
      <c r="H16" s="30">
        <f>$D$4*D16</f>
        <v>24</v>
      </c>
      <c r="I16" s="30">
        <f>$E$4*E16</f>
        <v>24</v>
      </c>
      <c r="J16" s="30">
        <f>SUM(F16:I16)</f>
        <v>107</v>
      </c>
      <c r="K16" s="5">
        <v>140</v>
      </c>
      <c r="L16" s="3">
        <f>F35</f>
        <v>0</v>
      </c>
      <c r="M16" s="3">
        <f>F49</f>
        <v>1</v>
      </c>
      <c r="N16" s="3">
        <f>F64</f>
        <v>0</v>
      </c>
      <c r="O16" s="3">
        <f>B11</f>
        <v>21</v>
      </c>
      <c r="P16" s="31">
        <f>K16-J16-L16-M16-N16-O16+Q16</f>
        <v>0</v>
      </c>
      <c r="Q16" s="32">
        <v>-11</v>
      </c>
      <c r="R16" t="s">
        <v>43</v>
      </c>
      <c r="S16" s="11"/>
      <c r="T16" s="22" t="s">
        <v>39</v>
      </c>
      <c r="U16" s="11"/>
      <c r="V16" s="22" t="s">
        <v>39</v>
      </c>
      <c r="W16" s="11"/>
      <c r="X16" s="22" t="s">
        <v>39</v>
      </c>
      <c r="Y16" s="11"/>
      <c r="Z16" s="6"/>
      <c r="AA16" s="6"/>
      <c r="AB16" s="6"/>
      <c r="AC16" s="6"/>
    </row>
    <row r="17" spans="1:29" ht="12.75">
      <c r="A17" s="13" t="s">
        <v>44</v>
      </c>
      <c r="B17" s="28">
        <v>1</v>
      </c>
      <c r="C17" s="29">
        <v>1</v>
      </c>
      <c r="D17" s="29">
        <v>1</v>
      </c>
      <c r="E17" s="29">
        <v>1</v>
      </c>
      <c r="F17" s="30">
        <f>$B$4*B17</f>
        <v>8</v>
      </c>
      <c r="G17" s="30">
        <f>$C$4*C17</f>
        <v>9</v>
      </c>
      <c r="H17" s="30">
        <f>$D$4*D17</f>
        <v>8</v>
      </c>
      <c r="I17" s="30">
        <f>$E$4*E17</f>
        <v>8</v>
      </c>
      <c r="J17" s="30">
        <f>SUM(F17:I17)</f>
        <v>33</v>
      </c>
      <c r="K17" s="5">
        <v>36</v>
      </c>
      <c r="L17" s="3">
        <f>F36</f>
        <v>0</v>
      </c>
      <c r="M17" s="3">
        <f>F50</f>
        <v>0</v>
      </c>
      <c r="N17" s="3">
        <f>F65</f>
        <v>0</v>
      </c>
      <c r="O17" s="6"/>
      <c r="P17" s="31">
        <f>K17-J17-L17-M17-N17-O17+Q17</f>
        <v>3</v>
      </c>
      <c r="Q17" s="32"/>
      <c r="S17" s="6" t="s">
        <v>45</v>
      </c>
      <c r="T17" s="5">
        <v>8</v>
      </c>
      <c r="U17" s="6">
        <f>AA17*4</f>
        <v>32</v>
      </c>
      <c r="V17" s="6"/>
      <c r="W17" s="6">
        <f>V17*4</f>
        <v>0</v>
      </c>
      <c r="X17" s="6"/>
      <c r="Y17" s="6">
        <f>X17*4</f>
        <v>0</v>
      </c>
      <c r="Z17" s="6">
        <f>B4</f>
        <v>8</v>
      </c>
      <c r="AA17" s="6">
        <f>T17+V17+X17</f>
        <v>8</v>
      </c>
      <c r="AB17" s="6">
        <f>AA17-Z17</f>
        <v>0</v>
      </c>
      <c r="AC17" s="6">
        <f>AB17*4</f>
        <v>0</v>
      </c>
    </row>
    <row r="18" spans="1:29" ht="12.75">
      <c r="A18" s="13" t="s">
        <v>46</v>
      </c>
      <c r="B18" s="28">
        <v>1</v>
      </c>
      <c r="C18" s="29">
        <v>1</v>
      </c>
      <c r="D18" s="29">
        <v>1</v>
      </c>
      <c r="E18" s="29">
        <v>1</v>
      </c>
      <c r="F18" s="30">
        <f>$B$4*B18</f>
        <v>8</v>
      </c>
      <c r="G18" s="30">
        <f>$C$4*C18</f>
        <v>9</v>
      </c>
      <c r="H18" s="30">
        <f>$D$4*D18</f>
        <v>8</v>
      </c>
      <c r="I18" s="30">
        <f>$E$4*E18</f>
        <v>8</v>
      </c>
      <c r="J18" s="30">
        <f>SUM(F18:I18)</f>
        <v>33</v>
      </c>
      <c r="K18" s="5">
        <v>36</v>
      </c>
      <c r="L18" s="3">
        <f>F37</f>
        <v>0</v>
      </c>
      <c r="M18" s="3">
        <f>F51</f>
        <v>0</v>
      </c>
      <c r="N18" s="3">
        <f>F66</f>
        <v>0</v>
      </c>
      <c r="O18" s="6"/>
      <c r="P18" s="31">
        <f>K18-J18-L18-M18-N18-O18+Q18</f>
        <v>3</v>
      </c>
      <c r="Q18" s="32"/>
      <c r="S18" s="6" t="s">
        <v>47</v>
      </c>
      <c r="T18" s="5">
        <v>9</v>
      </c>
      <c r="U18" s="6">
        <f>AA18*3</f>
        <v>27</v>
      </c>
      <c r="V18" s="6"/>
      <c r="W18" s="6">
        <f>V18*3</f>
        <v>0</v>
      </c>
      <c r="X18" s="6"/>
      <c r="Y18" s="6">
        <f>X18*3</f>
        <v>0</v>
      </c>
      <c r="Z18" s="6">
        <f>C4</f>
        <v>9</v>
      </c>
      <c r="AA18" s="6">
        <f>T18+V18+X18</f>
        <v>9</v>
      </c>
      <c r="AB18" s="6">
        <f>AA18-Z18</f>
        <v>0</v>
      </c>
      <c r="AC18" s="6">
        <f>AB18*3</f>
        <v>0</v>
      </c>
    </row>
    <row r="19" spans="1:29" ht="12.75">
      <c r="A19" s="13" t="s">
        <v>48</v>
      </c>
      <c r="B19" s="28">
        <v>4.5</v>
      </c>
      <c r="C19" s="29">
        <v>4.5</v>
      </c>
      <c r="D19" s="29">
        <v>4.5</v>
      </c>
      <c r="E19" s="29">
        <v>4</v>
      </c>
      <c r="F19" s="30">
        <f>$B$4*B19</f>
        <v>36</v>
      </c>
      <c r="G19" s="30">
        <f>$C$4*C19</f>
        <v>40.5</v>
      </c>
      <c r="H19" s="30">
        <f>$D$4*D19</f>
        <v>36</v>
      </c>
      <c r="I19" s="30">
        <f>$E$4*E19</f>
        <v>32</v>
      </c>
      <c r="J19" s="30">
        <f>SUM(F19:I19)</f>
        <v>144.5</v>
      </c>
      <c r="K19" s="5">
        <v>159</v>
      </c>
      <c r="L19" s="3">
        <f>F38</f>
        <v>6</v>
      </c>
      <c r="M19" s="3">
        <f>F52</f>
        <v>2</v>
      </c>
      <c r="N19" s="3">
        <f>F67</f>
        <v>0</v>
      </c>
      <c r="O19" s="3">
        <f>SUM(C28:E28)+E29</f>
        <v>11</v>
      </c>
      <c r="P19" s="31">
        <f>K19-J19-L19-M19-N19-O19+Q19</f>
        <v>-4.5</v>
      </c>
      <c r="Q19" s="32"/>
      <c r="S19" s="6" t="s">
        <v>49</v>
      </c>
      <c r="T19" s="5">
        <v>8</v>
      </c>
      <c r="U19" s="6">
        <f>AA19*3</f>
        <v>24</v>
      </c>
      <c r="V19" s="6"/>
      <c r="W19" s="6">
        <f>V19*3</f>
        <v>0</v>
      </c>
      <c r="X19" s="6"/>
      <c r="Y19" s="6">
        <f>X19*3</f>
        <v>0</v>
      </c>
      <c r="Z19" s="6">
        <f>D4</f>
        <v>8</v>
      </c>
      <c r="AA19" s="6">
        <f>T19+V19+X19</f>
        <v>8</v>
      </c>
      <c r="AB19" s="6">
        <f>AA19-Z19</f>
        <v>0</v>
      </c>
      <c r="AC19" s="6">
        <f>AB19*3</f>
        <v>0</v>
      </c>
    </row>
    <row r="20" spans="1:29" ht="12.75">
      <c r="A20" s="13" t="s">
        <v>50</v>
      </c>
      <c r="B20" s="28">
        <v>3</v>
      </c>
      <c r="C20" s="29">
        <v>3</v>
      </c>
      <c r="D20" s="29">
        <v>3</v>
      </c>
      <c r="E20" s="29">
        <v>3.5</v>
      </c>
      <c r="F20" s="30">
        <f>$B$4*B20</f>
        <v>24</v>
      </c>
      <c r="G20" s="30">
        <f>$C$4*C20</f>
        <v>27</v>
      </c>
      <c r="H20" s="30">
        <f>$D$4*D20</f>
        <v>24</v>
      </c>
      <c r="I20" s="30">
        <f>$E$4*E20</f>
        <v>28</v>
      </c>
      <c r="J20" s="30">
        <f>SUM(F20:I20)</f>
        <v>103</v>
      </c>
      <c r="K20" s="5">
        <v>108</v>
      </c>
      <c r="L20" s="3">
        <f>F39</f>
        <v>0</v>
      </c>
      <c r="M20" s="3">
        <f>F53</f>
        <v>1</v>
      </c>
      <c r="N20" s="3">
        <f>F68</f>
        <v>0</v>
      </c>
      <c r="O20" s="6"/>
      <c r="P20" s="31">
        <f>K20-J20-L20-M20-N20-O20+Q20</f>
        <v>4</v>
      </c>
      <c r="Q20" s="32"/>
      <c r="S20" s="6" t="s">
        <v>51</v>
      </c>
      <c r="T20" s="5">
        <v>8</v>
      </c>
      <c r="U20" s="6">
        <f>AA20*3</f>
        <v>24</v>
      </c>
      <c r="V20" s="6"/>
      <c r="W20" s="6">
        <f>V20*3</f>
        <v>0</v>
      </c>
      <c r="X20" s="6"/>
      <c r="Y20" s="6">
        <f>X20*3</f>
        <v>0</v>
      </c>
      <c r="Z20" s="6">
        <f>E4</f>
        <v>8</v>
      </c>
      <c r="AA20" s="6">
        <f>T20+V20+X20</f>
        <v>8</v>
      </c>
      <c r="AB20" s="6">
        <f>AA20-Z20</f>
        <v>0</v>
      </c>
      <c r="AC20" s="6">
        <f>AB20*3</f>
        <v>0</v>
      </c>
    </row>
    <row r="21" spans="1:29" ht="12.75">
      <c r="A21" s="13" t="s">
        <v>52</v>
      </c>
      <c r="B21" s="28">
        <v>4</v>
      </c>
      <c r="C21" s="29">
        <v>3</v>
      </c>
      <c r="D21" s="29">
        <v>3</v>
      </c>
      <c r="E21" s="29">
        <v>3</v>
      </c>
      <c r="F21" s="30">
        <f>$B$4*B21</f>
        <v>32</v>
      </c>
      <c r="G21" s="30">
        <f>$C$4*C21</f>
        <v>27</v>
      </c>
      <c r="H21" s="30">
        <f>$D$4*D21</f>
        <v>24</v>
      </c>
      <c r="I21" s="30">
        <f>$E$4*E21</f>
        <v>24</v>
      </c>
      <c r="J21" s="30">
        <f>SUM(F21:I21)</f>
        <v>107</v>
      </c>
      <c r="K21" s="5">
        <v>108</v>
      </c>
      <c r="L21" s="3">
        <f>F40</f>
        <v>2</v>
      </c>
      <c r="M21" s="3">
        <f>F54</f>
        <v>0</v>
      </c>
      <c r="N21" s="3">
        <f>F69</f>
        <v>0</v>
      </c>
      <c r="O21" s="6"/>
      <c r="P21" s="33">
        <f>U24</f>
        <v>-1</v>
      </c>
      <c r="Q21" s="32"/>
      <c r="S21" s="6" t="s">
        <v>53</v>
      </c>
      <c r="T21" s="6"/>
      <c r="U21" s="6">
        <f>T21*2.5</f>
        <v>0</v>
      </c>
      <c r="V21" s="5">
        <v>3</v>
      </c>
      <c r="W21" s="6">
        <f>V21*2.5</f>
        <v>7.5</v>
      </c>
      <c r="X21" s="5">
        <v>7</v>
      </c>
      <c r="Y21" s="6">
        <f>X21*2.5</f>
        <v>17.5</v>
      </c>
      <c r="Z21" s="6">
        <f>C4</f>
        <v>9</v>
      </c>
      <c r="AA21" s="6">
        <f>T21+V21+X21</f>
        <v>10</v>
      </c>
      <c r="AB21" s="6">
        <f>AA21-Z21</f>
        <v>1</v>
      </c>
      <c r="AC21" s="6">
        <f>AB21*2.5</f>
        <v>2.5</v>
      </c>
    </row>
    <row r="22" spans="1:29" ht="12.75">
      <c r="A22" s="13" t="s">
        <v>54</v>
      </c>
      <c r="B22" s="28"/>
      <c r="C22" s="29">
        <v>2.5</v>
      </c>
      <c r="D22" s="29">
        <v>2.5</v>
      </c>
      <c r="E22" s="29">
        <v>2.5</v>
      </c>
      <c r="F22" s="30">
        <f>$B$4*B22</f>
        <v>0</v>
      </c>
      <c r="G22" s="30">
        <f>$C$4*C22</f>
        <v>22.5</v>
      </c>
      <c r="H22" s="30">
        <f>$D$4*D22</f>
        <v>20</v>
      </c>
      <c r="I22" s="30">
        <f>$E$4*E22</f>
        <v>20</v>
      </c>
      <c r="J22" s="30">
        <f>SUM(F22:I22)</f>
        <v>62.5</v>
      </c>
      <c r="K22" s="5"/>
      <c r="L22" s="3">
        <f>F41</f>
        <v>0</v>
      </c>
      <c r="M22" s="3">
        <f>F55</f>
        <v>1</v>
      </c>
      <c r="N22" s="3">
        <f>F70</f>
        <v>2.5</v>
      </c>
      <c r="O22" s="6"/>
      <c r="P22" s="34"/>
      <c r="Q22" s="32"/>
      <c r="S22" s="6" t="s">
        <v>55</v>
      </c>
      <c r="T22" s="6"/>
      <c r="U22" s="6">
        <f>T22*2.5</f>
        <v>0</v>
      </c>
      <c r="V22" s="5">
        <v>3</v>
      </c>
      <c r="W22" s="6">
        <f>V22*2.5</f>
        <v>7.5</v>
      </c>
      <c r="X22" s="5">
        <v>5</v>
      </c>
      <c r="Y22" s="6">
        <f>X22*2.5</f>
        <v>12.5</v>
      </c>
      <c r="Z22" s="6">
        <f>D4</f>
        <v>8</v>
      </c>
      <c r="AA22" s="6">
        <f>T22+V22+X22</f>
        <v>8</v>
      </c>
      <c r="AB22" s="6">
        <f>AA22-Z22</f>
        <v>0</v>
      </c>
      <c r="AC22" s="6">
        <f>AB22*2.5</f>
        <v>0</v>
      </c>
    </row>
    <row r="23" spans="1:29" ht="12.75">
      <c r="A23" s="13" t="s">
        <v>56</v>
      </c>
      <c r="B23" s="28">
        <v>4.5</v>
      </c>
      <c r="C23" s="29">
        <v>3.5</v>
      </c>
      <c r="D23" s="29">
        <v>3.5</v>
      </c>
      <c r="E23" s="29">
        <v>3.5</v>
      </c>
      <c r="F23" s="30">
        <f>$B$4*B23</f>
        <v>36</v>
      </c>
      <c r="G23" s="30">
        <f>$C$4*C23</f>
        <v>31.5</v>
      </c>
      <c r="H23" s="30">
        <f>$D$4*D23</f>
        <v>28</v>
      </c>
      <c r="I23" s="30">
        <f>$E$4*E23</f>
        <v>28</v>
      </c>
      <c r="J23" s="30">
        <f>SUM(F23:I23)</f>
        <v>123.5</v>
      </c>
      <c r="K23" s="5">
        <v>138</v>
      </c>
      <c r="L23" s="3">
        <f>F42</f>
        <v>6</v>
      </c>
      <c r="M23" s="3">
        <f>F56</f>
        <v>1</v>
      </c>
      <c r="N23" s="3">
        <f>F71</f>
        <v>0</v>
      </c>
      <c r="O23" s="6"/>
      <c r="P23" s="31">
        <f>K23-J23-L23-M23-N23-O23+Q23</f>
        <v>7.5</v>
      </c>
      <c r="Q23" s="32"/>
      <c r="S23" s="6" t="s">
        <v>57</v>
      </c>
      <c r="T23" s="6"/>
      <c r="U23" s="6">
        <f>T23*2.5</f>
        <v>0</v>
      </c>
      <c r="V23" s="5">
        <v>3</v>
      </c>
      <c r="W23" s="6">
        <f>V23*2.5</f>
        <v>7.5</v>
      </c>
      <c r="X23" s="5">
        <v>5</v>
      </c>
      <c r="Y23" s="6">
        <f>X23*2.5</f>
        <v>12.5</v>
      </c>
      <c r="Z23" s="6">
        <f>E4</f>
        <v>8</v>
      </c>
      <c r="AA23" s="6">
        <f>T23+V23+X23</f>
        <v>8</v>
      </c>
      <c r="AB23" s="6">
        <f>AA23-Z23</f>
        <v>0</v>
      </c>
      <c r="AC23" s="6">
        <f>AB23*2.5</f>
        <v>0</v>
      </c>
    </row>
    <row r="24" spans="1:29" ht="12.75">
      <c r="A24" s="13" t="s">
        <v>58</v>
      </c>
      <c r="B24" s="35">
        <v>2</v>
      </c>
      <c r="C24" s="29">
        <v>1.5</v>
      </c>
      <c r="D24" s="29">
        <v>1.5</v>
      </c>
      <c r="E24" s="29">
        <v>1.5</v>
      </c>
      <c r="F24" s="30">
        <f>$B$4*B24</f>
        <v>16</v>
      </c>
      <c r="G24" s="30">
        <f>$C$4*C24</f>
        <v>13.5</v>
      </c>
      <c r="H24" s="30">
        <f>$D$4*D24</f>
        <v>12</v>
      </c>
      <c r="I24" s="30">
        <f>$E$4*E24</f>
        <v>12</v>
      </c>
      <c r="J24" s="30">
        <f>SUM(F24:I24)</f>
        <v>53.5</v>
      </c>
      <c r="K24" s="5">
        <v>54</v>
      </c>
      <c r="L24" s="3">
        <f>F43</f>
        <v>0</v>
      </c>
      <c r="M24" s="3">
        <f>F57</f>
        <v>1</v>
      </c>
      <c r="N24" s="3">
        <f>F72</f>
        <v>6.5</v>
      </c>
      <c r="O24" s="6"/>
      <c r="P24" s="31">
        <f>K24-J24-L24-M24-N24-O24+Q24</f>
        <v>-7</v>
      </c>
      <c r="Q24" s="32"/>
      <c r="S24" s="36" t="s">
        <v>59</v>
      </c>
      <c r="T24" s="6"/>
      <c r="U24" s="36">
        <f>U15-SUM(U17:U23)-L21-M21</f>
        <v>-1</v>
      </c>
      <c r="V24" s="6"/>
      <c r="W24" s="36">
        <f>W15-SUM(W17:W23)</f>
        <v>13.5</v>
      </c>
      <c r="X24" s="6"/>
      <c r="Y24" s="36">
        <f>Y15-SUM(Y17:Y23)</f>
        <v>-6.5</v>
      </c>
      <c r="Z24" s="6"/>
      <c r="AA24" s="6"/>
      <c r="AB24" s="6"/>
      <c r="AC24" s="6"/>
    </row>
    <row r="25" spans="1:29" ht="12.75">
      <c r="A25" s="13" t="s">
        <v>60</v>
      </c>
      <c r="B25" s="35">
        <v>2</v>
      </c>
      <c r="C25" s="29">
        <v>1.5</v>
      </c>
      <c r="D25" s="29">
        <v>1.5</v>
      </c>
      <c r="E25" s="29">
        <v>1.5</v>
      </c>
      <c r="F25" s="30">
        <f>$B$4*B25</f>
        <v>16</v>
      </c>
      <c r="G25" s="30">
        <f>$C$4*C25</f>
        <v>13.5</v>
      </c>
      <c r="H25" s="30">
        <f>$D$4*D25</f>
        <v>12</v>
      </c>
      <c r="I25" s="30">
        <f>$E$4*E25</f>
        <v>12</v>
      </c>
      <c r="J25" s="30">
        <f>SUM(F25:I25)</f>
        <v>53.5</v>
      </c>
      <c r="K25" s="5">
        <v>72</v>
      </c>
      <c r="L25" s="3">
        <f>F44</f>
        <v>0</v>
      </c>
      <c r="M25" s="3">
        <f>F58</f>
        <v>2</v>
      </c>
      <c r="N25" s="3">
        <f>F73</f>
        <v>6.5</v>
      </c>
      <c r="O25" s="6"/>
      <c r="P25" s="31">
        <f>K25-J25-L25-M25-N25-O25+Q25</f>
        <v>2</v>
      </c>
      <c r="Q25" s="32">
        <v>-8</v>
      </c>
      <c r="R25" t="s">
        <v>43</v>
      </c>
      <c r="AB25" s="9" t="s">
        <v>61</v>
      </c>
      <c r="AC25" s="37">
        <f>SUM(AC17:AC23)</f>
        <v>2.5</v>
      </c>
    </row>
    <row r="26" spans="1:17" ht="12.75">
      <c r="A26" s="13" t="s">
        <v>62</v>
      </c>
      <c r="B26" s="35">
        <v>0</v>
      </c>
      <c r="C26" s="29">
        <v>1.5</v>
      </c>
      <c r="D26" s="29">
        <v>1.5</v>
      </c>
      <c r="E26" s="29">
        <v>1.5</v>
      </c>
      <c r="F26" s="30">
        <f>$B$4*B26</f>
        <v>0</v>
      </c>
      <c r="G26" s="30">
        <f>$C$4*C26</f>
        <v>13.5</v>
      </c>
      <c r="H26" s="30">
        <f>$D$4*D26</f>
        <v>12</v>
      </c>
      <c r="I26" s="30">
        <f>$E$4*E26</f>
        <v>12</v>
      </c>
      <c r="J26" s="30">
        <f>SUM(F26:I26)</f>
        <v>37.5</v>
      </c>
      <c r="K26" s="5">
        <v>33</v>
      </c>
      <c r="L26" s="3">
        <f>F45</f>
        <v>0</v>
      </c>
      <c r="M26" s="3">
        <f>F59</f>
        <v>1</v>
      </c>
      <c r="N26" s="3">
        <f>F74</f>
        <v>4.5</v>
      </c>
      <c r="O26" s="6"/>
      <c r="P26" s="31">
        <f>K26-J26-L26-M26-N26-O26+Q26</f>
        <v>-10</v>
      </c>
      <c r="Q26" s="32"/>
    </row>
    <row r="27" spans="10:18" ht="12.75">
      <c r="J27" s="38">
        <f>SUM(J16:J26)</f>
        <v>858</v>
      </c>
      <c r="L27" s="10">
        <f>SUM(L16:L26)</f>
        <v>14</v>
      </c>
      <c r="M27" s="10">
        <f>SUM(M16:M26)</f>
        <v>10</v>
      </c>
      <c r="N27" s="10">
        <f>SUM(N16:N26)</f>
        <v>20</v>
      </c>
      <c r="O27" s="10">
        <f>O19</f>
        <v>11</v>
      </c>
      <c r="Q27" s="37" t="s">
        <v>12</v>
      </c>
      <c r="R27" s="37">
        <f>G7</f>
        <v>90.75</v>
      </c>
    </row>
    <row r="28" spans="1:18" ht="12.75">
      <c r="A28" s="6" t="s">
        <v>63</v>
      </c>
      <c r="B28" s="6"/>
      <c r="C28" s="39">
        <f>H28*1</f>
        <v>2</v>
      </c>
      <c r="D28" s="39">
        <f>H28*2</f>
        <v>4</v>
      </c>
      <c r="E28" s="39">
        <f>H28*2</f>
        <v>4</v>
      </c>
      <c r="F28" s="4" t="s">
        <v>64</v>
      </c>
      <c r="G28" s="4"/>
      <c r="H28" s="40">
        <v>2</v>
      </c>
      <c r="Q28" s="37" t="s">
        <v>65</v>
      </c>
      <c r="R28" s="37">
        <f>G7-L27-M27-N27-O27</f>
        <v>35.75</v>
      </c>
    </row>
    <row r="29" spans="1:8" ht="12.75">
      <c r="A29" s="6" t="s">
        <v>66</v>
      </c>
      <c r="B29" s="11"/>
      <c r="C29" s="41"/>
      <c r="D29" s="41"/>
      <c r="E29" s="39">
        <f>H29*1</f>
        <v>1</v>
      </c>
      <c r="F29" s="4" t="s">
        <v>64</v>
      </c>
      <c r="G29" s="4"/>
      <c r="H29" s="40">
        <v>1</v>
      </c>
    </row>
    <row r="31" spans="11:19" ht="12.75">
      <c r="K31" s="42" t="s">
        <v>67</v>
      </c>
      <c r="L31" s="42"/>
      <c r="M31" s="42"/>
      <c r="N31" s="42"/>
      <c r="O31" s="42"/>
      <c r="P31" s="42"/>
      <c r="Q31" s="42"/>
      <c r="R31" s="42"/>
      <c r="S31" s="42"/>
    </row>
    <row r="32" spans="11:27" ht="25.5">
      <c r="K32" s="43"/>
      <c r="L32" s="11"/>
      <c r="M32" s="44" t="s">
        <v>68</v>
      </c>
      <c r="N32" s="44" t="s">
        <v>69</v>
      </c>
      <c r="O32" s="44" t="s">
        <v>70</v>
      </c>
      <c r="P32" s="11" t="s">
        <v>71</v>
      </c>
      <c r="Q32" s="11" t="s">
        <v>72</v>
      </c>
      <c r="R32" s="11" t="s">
        <v>73</v>
      </c>
      <c r="S32" s="45" t="s">
        <v>74</v>
      </c>
      <c r="T32" s="6" t="s">
        <v>75</v>
      </c>
      <c r="U32" s="6" t="s">
        <v>76</v>
      </c>
      <c r="V32" s="6" t="s">
        <v>77</v>
      </c>
      <c r="AA32" s="46" t="s">
        <v>78</v>
      </c>
    </row>
    <row r="33" spans="1:27" ht="18" customHeight="1">
      <c r="A33" s="47" t="s">
        <v>79</v>
      </c>
      <c r="B33" s="47"/>
      <c r="C33" s="47"/>
      <c r="D33" s="47"/>
      <c r="E33" s="47"/>
      <c r="F33" s="48">
        <f>SUM(F35:F45)</f>
        <v>14</v>
      </c>
      <c r="K33" s="49" t="s">
        <v>80</v>
      </c>
      <c r="L33" s="49" t="s">
        <v>9</v>
      </c>
      <c r="M33" s="50">
        <f>B4</f>
        <v>8</v>
      </c>
      <c r="N33" s="51">
        <v>10</v>
      </c>
      <c r="O33" s="50">
        <f>N33-M33</f>
        <v>2</v>
      </c>
      <c r="P33" s="52" t="s">
        <v>81</v>
      </c>
      <c r="Q33" s="52"/>
      <c r="R33" s="52"/>
      <c r="S33" s="53">
        <f>IF(COUNTBLANK(P33:R33)=3,"",O33/(3-COUNTBLANK(P33:R33)))</f>
        <v>2</v>
      </c>
      <c r="T33" s="54"/>
      <c r="U33" s="54"/>
      <c r="V33" s="54"/>
      <c r="AA33" s="46" t="s">
        <v>82</v>
      </c>
    </row>
    <row r="34" spans="1:27" ht="12.75">
      <c r="A34" s="13" t="s">
        <v>27</v>
      </c>
      <c r="B34" s="55" t="s">
        <v>1</v>
      </c>
      <c r="C34" s="55" t="s">
        <v>2</v>
      </c>
      <c r="D34" s="55" t="s">
        <v>3</v>
      </c>
      <c r="E34" s="55" t="s">
        <v>4</v>
      </c>
      <c r="F34" s="6" t="s">
        <v>17</v>
      </c>
      <c r="K34" s="49" t="s">
        <v>83</v>
      </c>
      <c r="L34" s="49" t="s">
        <v>9</v>
      </c>
      <c r="M34" s="50">
        <f>M33</f>
        <v>8</v>
      </c>
      <c r="N34" s="51">
        <v>10</v>
      </c>
      <c r="O34" s="50">
        <f>N34-M34</f>
        <v>2</v>
      </c>
      <c r="P34" s="52" t="s">
        <v>82</v>
      </c>
      <c r="Q34" s="52"/>
      <c r="R34" s="56"/>
      <c r="S34" s="53">
        <f>IF(COUNTBLANK(P34:R34)=3,"",O34/(3-COUNTBLANK(P34:R34)))</f>
        <v>2</v>
      </c>
      <c r="T34" s="54"/>
      <c r="U34" s="54"/>
      <c r="V34" s="54"/>
      <c r="AA34" s="46" t="s">
        <v>84</v>
      </c>
    </row>
    <row r="35" spans="1:27" ht="12.75">
      <c r="A35" s="13" t="s">
        <v>42</v>
      </c>
      <c r="B35" s="57">
        <f>IF($L$33="ap",IF(COUNTIF($P$33:$R$33,"eps")&gt;0,IF(SUM($T$33:$V$33)=0,$S$33,LOOKUP("eps",$P$33:$V$33,$T$33:$V$33)),IF(COUNTIF($P$34:$R$34,"eps")&gt;0,IF(SUM($T$34:$V$34)=0,$S$34,LOOKUP("eps",$P$34:$V$34,$T$34:$V$34)),IF(COUNTIF($P$35:$R$35,"eps")&gt;0,IF(SUM($T$35:$V$35)=0,$S$35,LOOKUP("eps",$P$35:$V$35,$T$35:$V$35)),""))))</f>
      </c>
      <c r="C35" s="57">
        <f>IF($L$37="ap",IF(COUNTIF($P$37:$R$37,"eps")&gt;0,IF(SUM($T$37:$V$37)=0,$S$37,LOOKUP("eps",$P$37:$V$37,$T$37:$V$37)),IF($L$38="ap",IF(COUNTIF($P$38:$R$38,"eps")&gt;0,IF(SUM($T$38:$V$38)=0,$S$38,LOOKUP("eps",$P$38:$V$38,$T$38:$V$38)),""),"")))</f>
      </c>
      <c r="D35" s="57">
        <f>IF($L$42="ap",IF(COUNTIF($P$42:$R$42,"eps")&gt;0,IF(SUM($T$42:$V$42)=0,$S$42,LOOKUP("eps",$P$42:$V$42,$T$42:$V$42)),IF($L$43="ap",IF(COUNTIF($P$43:$R$43,"eps")&gt;0,IF(SUM($T$43:$V$43)=0,$S$43,LOOKUP("eps",$P$43:$V$43,$T$43:$V$43)),""),"")))</f>
      </c>
      <c r="E35" s="57">
        <f>IF($L$47="ap",IF(COUNTIF($P$47:$R$47,"eps")&gt;0,IF(SUM($T$47:$V$47)=0,$S$47,LOOKUP("eps",$P$47:$V$47,$T$47:$V$47)),IF($L$48="ap",IF(COUNTIF($P$48:$R$48,"eps")&gt;0,IF(SUM($T$48:$V$48)=0,$S$48,LOOKUP("eps",$P$48:$V$48,$T$48:$V$48)),""),"")))</f>
      </c>
      <c r="F35" s="6">
        <f>SUM(B35:E35)</f>
        <v>0</v>
      </c>
      <c r="K35" s="49" t="s">
        <v>85</v>
      </c>
      <c r="L35" s="49" t="s">
        <v>9</v>
      </c>
      <c r="M35" s="50">
        <f>M34</f>
        <v>8</v>
      </c>
      <c r="N35" s="51">
        <v>10</v>
      </c>
      <c r="O35" s="50">
        <f>N35-M35</f>
        <v>2</v>
      </c>
      <c r="P35" s="52" t="s">
        <v>84</v>
      </c>
      <c r="Q35" s="52"/>
      <c r="R35" s="52"/>
      <c r="S35" s="53">
        <f>IF(COUNTBLANK(P35:R35)=3,"",O35/(3-COUNTBLANK(P35:R35)))</f>
        <v>2</v>
      </c>
      <c r="T35" s="54"/>
      <c r="U35" s="54"/>
      <c r="V35" s="54"/>
      <c r="AA35" s="46" t="s">
        <v>81</v>
      </c>
    </row>
    <row r="36" spans="1:27" ht="12.75">
      <c r="A36" s="13" t="s">
        <v>44</v>
      </c>
      <c r="B36" s="57">
        <f>IF($L$33="ap",IF(COUNTIF($P$33:$R$33,"edart")&gt;0,IF(SUM($T$33:$V$33)=0,$S$33,LOOKUP("edart",$P$33:$V$33,$T$33:$V$33)),IF(COUNTIF($P$34:$R$34,"edart")&gt;0,IF(SUM($T$34:$V$34)=0,$S$34,LOOKUP("edart",$P$34:$V$34,$T$34:$V$34)),IF(COUNTIF($P$35:$R$35,"edart")&gt;0,IF(SUM($T$35:$V$35)=0,$S$35,LOOKUP("edart",$P$35:$V$35,$T$35:$V$35)),""))))</f>
      </c>
      <c r="C36" s="57">
        <f>IF($L$37="ap",IF(COUNTIF($P$37:$R$37,"edart")&gt;0,IF(SUM($T$37:$V$37)=0,$S$37,LOOKUP("edart",$P$37:$V$37,$T$37:$V$37)),IF($L$38="ap",IF(COUNTIF($P$38:$R$38,"edart")&gt;0,IF(SUM($T$38:$V$38)=0,$S$38,LOOKUP("edart",$P$38:$V$38,$T$38:$V$38)),""),"")))</f>
      </c>
      <c r="D36" s="57">
        <f>IF($L$42="ap",IF(COUNTIF($P$42:$R$42,"edart")&gt;0,IF(SUM($T$42:$V$42)=0,$S$42,LOOKUP("edart",$P$42:$V$42,$T$42:$V$42)),IF($L$43="ap",IF(COUNTIF($P$43:$R$43,"edart")&gt;0,IF(SUM($T$43:$V$43)=0,$S$43,LOOKUP("edart",$P$43:$V$43,$T$43:$V$43)),""),"")))</f>
      </c>
      <c r="E36" s="57">
        <f>IF($L$47="ap",IF(COUNTIF($P$47:$R$47,"edart")&gt;0,IF(SUM($T$47:$V$47)=0,$S$47,LOOKUP("edart",$P$47:$V$47,$T$47:$V$47)),IF($L$48="ap",IF(COUNTIF($P$48:$R$48,"edart")&gt;0,IF(SUM($T$48:$V$48)=0,$S$48,LOOKUP("edart",$P$48:$V$48,$T$48:$V$48)),""),"")))</f>
      </c>
      <c r="F36" s="6">
        <f>SUM(B36:E36)</f>
        <v>0</v>
      </c>
      <c r="K36" s="43"/>
      <c r="L36" s="11"/>
      <c r="M36" s="11"/>
      <c r="N36" s="58"/>
      <c r="O36" s="11"/>
      <c r="P36" s="11"/>
      <c r="Q36" s="11"/>
      <c r="R36" s="11"/>
      <c r="S36" s="59"/>
      <c r="T36" s="11"/>
      <c r="U36" s="11"/>
      <c r="V36" s="11"/>
      <c r="AA36" t="s">
        <v>86</v>
      </c>
    </row>
    <row r="37" spans="1:27" ht="12.75">
      <c r="A37" s="13" t="s">
        <v>46</v>
      </c>
      <c r="B37" s="57">
        <f>IF($L$33="ap",IF(COUNTIF($P$33:$R$33,"edmu")&gt;0,IF(SUM($T$33:$V$33)=0,$S$33,LOOKUP("edmu",$P$33:$V$33,$T$33:$V$33)),IF(COUNTIF($P$34:$R$34,"edmu")&gt;0,IF(SUM($T$34:$V$34)=0,$S$34,LOOKUP("edmu",$P$34:$V$34,$T$34:$V$34)),IF(COUNTIF($P$35:$R$35,"edmu")&gt;0,IF(SUM($T$35:$V$35)=0,$S$35,LOOKUP("edmu",$P$35:$V$35,$T$35:$V$35)),""))))</f>
      </c>
      <c r="C37" s="57">
        <f>IF($L$37="ap",IF(COUNTIF($P$37:$R$37,"edmu")&gt;0,IF(SUM($T$37:$V$37)=0,$S$37,LOOKUP("edmu",$P$37:$V$37,$T$37:$V$37)),IF($L$38="ap",IF(COUNTIF($P$38:$R$38,"edmu")&gt;0,IF(SUM($T$38:$V$38)=0,$S$38,LOOKUP("edmu",$P$38:$V$38,$T$38:$V$38)),""),"")))</f>
      </c>
      <c r="D37" s="57">
        <f>IF($L$42="ap",IF(COUNTIF($P$42:$R$42,"edmu")&gt;0,IF(SUM($T$42:$V$42)=0,$S$42,LOOKUP("edmu",$P$42:$V$42,$T$42:$V$42)),IF($L$43="ap",IF(COUNTIF($P$43:$R$43,"edmu")&gt;0,IF(SUM($T$43:$V$43)=0,$S$43,LOOKUP("edmu",$P$43:$V$43,$T$43:$V$43)),""),"")))</f>
      </c>
      <c r="E37" s="57">
        <f>IF($L$47="ap",IF(COUNTIF($P$47:$R$47,"edmu")&gt;0,IF(SUM($T$47:$V$47)=0,$S$47,LOOKUP("edmu",$P$47:$V$47,$T$47:$V$47)),IF($L$48="ap",IF(COUNTIF($P$48:$R$48,"edmu")&gt;0,IF(SUM($T$48:$V$48)=0,$S$48,LOOKUP("edmu",$P$48:$V$48,$T$48:$V$48)),""),"")))</f>
      </c>
      <c r="F37" s="6">
        <f>SUM(B37:E37)</f>
        <v>0</v>
      </c>
      <c r="K37" s="49" t="s">
        <v>87</v>
      </c>
      <c r="L37" s="49" t="s">
        <v>9</v>
      </c>
      <c r="M37" s="50">
        <f>$C$4</f>
        <v>9</v>
      </c>
      <c r="N37" s="51">
        <v>11</v>
      </c>
      <c r="O37" s="50">
        <f>N37-M37</f>
        <v>2</v>
      </c>
      <c r="P37" s="52" t="s">
        <v>82</v>
      </c>
      <c r="Q37" s="52"/>
      <c r="R37" s="52"/>
      <c r="S37" s="53">
        <f>IF(COUNTBLANK(P37:R37)=3,"",O37/(3-COUNTBLANK(P37:R37)))</f>
        <v>2</v>
      </c>
      <c r="T37" s="54"/>
      <c r="U37" s="54"/>
      <c r="V37" s="54"/>
      <c r="AA37" t="s">
        <v>88</v>
      </c>
    </row>
    <row r="38" spans="1:27" ht="12.75">
      <c r="A38" s="13" t="s">
        <v>48</v>
      </c>
      <c r="B38" s="57">
        <f>IF($L$33="ap",IF(COUNTIF($P$33:$R$33,"français")&gt;0,IF(SUM($T$33:$V$33)=0,$S$33,LOOKUP("français",$P$33:$V$33,$T$33:$V$33)),IF(COUNTIF($P$34:$R$34,"français")&gt;0,IF(SUM($T$34:$V$34)=0,$S$34,LOOKUP("français",$P$34:$V$34,$T$34:$V$34)),IF(COUNTIF($P$35:$R$35,"français")&gt;0,IF(SUM($T$35:$V$35)=0,$S$35,LOOKUP("français",$P$35:$V$35,$T$35:$V$35)),""))))</f>
        <v>2</v>
      </c>
      <c r="C38" s="57">
        <f>IF($L$37="ap",IF(COUNTIF($P$37:$R$37,"français")&gt;0,IF(SUM($T$37:$V$37)=0,$S$37,LOOKUP("français",$P$37:$V$37,$T$37:$V$37)),IF($L$38="ap",IF(COUNTIF($P$38:$R$38,"français")&gt;0,IF(SUM($T$38:$V$38)=0,$S$38,LOOKUP("français",$P$38:$V$38,$T$38:$V$38)),""),"")))</f>
        <v>2</v>
      </c>
      <c r="D38" s="57">
        <f>IF($L$42="ap",IF(COUNTIF($P$42:$R$42,"français")&gt;0,IF(SUM($T$42:$V$42)=0,$S$42,LOOKUP("français",$P$42:$V$42,$T$42:$V$42)),IF($L$43="ap",IF(COUNTIF($P$43:$R$43,"français")&gt;0,IF(SUM($T$43:$V$43)=0,$S$43,LOOKUP("français",$P$43:$V$43,$T$43:$V$43)),""),"")))</f>
        <v>1</v>
      </c>
      <c r="E38" s="57">
        <f>IF($L$47="ap",IF(COUNTIF($P$47:$R$47,"français")&gt;0,IF(SUM($T$47:$V$47)=0,$S$47,LOOKUP("français",$P$47:$V$47,$T$47:$V$47)),IF($L$48="ap",IF(COUNTIF($P$48:$R$48,"français")&gt;0,IF(SUM($T$48:$V$48)=0,$S$48,LOOKUP("français",$P$48:$V$48,$T$48:$V$48)),""),"")))</f>
        <v>1</v>
      </c>
      <c r="F38" s="6">
        <f>SUM(B38:E38)</f>
        <v>6</v>
      </c>
      <c r="K38" s="49" t="s">
        <v>89</v>
      </c>
      <c r="L38" s="49" t="str">
        <f>IF(M5=2,"ap","epi")</f>
        <v>ap</v>
      </c>
      <c r="M38" s="50">
        <f>$C$4</f>
        <v>9</v>
      </c>
      <c r="N38" s="51">
        <v>11</v>
      </c>
      <c r="O38" s="50">
        <f>N38-M38</f>
        <v>2</v>
      </c>
      <c r="P38" s="52" t="s">
        <v>84</v>
      </c>
      <c r="Q38" s="52"/>
      <c r="R38" s="52"/>
      <c r="S38" s="53">
        <f>IF(COUNTBLANK(P38:R38)=3,"",O38/(3-COUNTBLANK(P38:R38)))</f>
        <v>2</v>
      </c>
      <c r="T38" s="54"/>
      <c r="U38" s="54"/>
      <c r="V38" s="54"/>
      <c r="AA38" t="s">
        <v>90</v>
      </c>
    </row>
    <row r="39" spans="1:27" ht="12.75">
      <c r="A39" s="13" t="s">
        <v>50</v>
      </c>
      <c r="B39" s="57">
        <f>IF($L$33="ap",IF(COUNTIF($P$33:$R$33,"histgeo")&gt;0,IF(SUM($T$33:$V$33)=0,$S$33,LOOKUP("histgeo",$P$33:$V$33,$T$33:$V$33)),IF(COUNTIF($P$34:$R$34,"histgeo")&gt;0,IF(SUM($T$34:$V$34)=0,$S$34,LOOKUP("histgeo",$P$34:$V$34,$T$34:$V$34)),IF(COUNTIF($P$35:$R$35,"histgeo")&gt;0,IF(SUM($T$35:$V$35)=0,$S$35,LOOKUP("histgeo",$P$35:$V$35,$T$35:$V$35)),""))))</f>
      </c>
      <c r="C39" s="57">
        <f>IF($L$37="ap",IF(COUNTIF($P$37:$R$37,"histgeo")&gt;0,IF(SUM($T$37:$V$37)=0,$S$37,LOOKUP("histgeo",$P$37:$V$37,$T$37:$V$37)),IF($L$38="ap",IF(COUNTIF($P$38:$R$38,"histgeo")&gt;0,IF(SUM($T$38:$V$38)=0,$S$38,LOOKUP("histgeo",$P$38:$V$38,$T$38:$V$38)),""),"")))</f>
      </c>
      <c r="D39" s="57">
        <f>IF($L$42="ap",IF(COUNTIF($P$42:$R$42,"histgeo")&gt;0,IF(SUM($T$42:$V$42)=0,$S$42,LOOKUP("histgeo",$P$42:$V$42,$T$42:$V$42)),IF($L$43="ap",IF(COUNTIF($P$43:$R$43,"histgeo")&gt;0,IF(SUM($T$43:$V$43)=0,$S$43,LOOKUP("histgeo",$P$43:$V$43,$T$43:$V$43)),""),"")))</f>
      </c>
      <c r="E39" s="57">
        <f>IF($L$47="ap",IF(COUNTIF($P$47:$R$47,"histgeo")&gt;0,IF(SUM($T$47:$V$47)=0,$S$47,LOOKUP("histgeo",$P$47:$V$47,$T$47:$V$47)),IF($L$48="ap",IF(COUNTIF($P$48:$R$48,"histgeo")&gt;0,IF(SUM($T$48:$V$48)=0,$S$48,LOOKUP("histgeo",$P$48:$V$48,$T$48:$V$48)),""),"")))</f>
      </c>
      <c r="F39" s="6">
        <f>SUM(B39:E39)</f>
        <v>0</v>
      </c>
      <c r="K39" s="49" t="s">
        <v>91</v>
      </c>
      <c r="L39" s="49" t="s">
        <v>15</v>
      </c>
      <c r="M39" s="50">
        <f>$C$4</f>
        <v>9</v>
      </c>
      <c r="N39" s="51">
        <v>11</v>
      </c>
      <c r="O39" s="50">
        <f>N39-M39</f>
        <v>2</v>
      </c>
      <c r="P39" s="60" t="s">
        <v>86</v>
      </c>
      <c r="Q39" s="54" t="s">
        <v>88</v>
      </c>
      <c r="R39" s="52"/>
      <c r="S39" s="53">
        <f>IF(COUNTBLANK(P39:R39)=3,"",O39/(3-COUNTBLANK(P39:R39)))</f>
        <v>1</v>
      </c>
      <c r="T39" s="54">
        <v>1</v>
      </c>
      <c r="U39" s="54">
        <v>1</v>
      </c>
      <c r="V39" s="54"/>
      <c r="AA39" t="s">
        <v>92</v>
      </c>
    </row>
    <row r="40" spans="1:27" ht="12.75">
      <c r="A40" s="13" t="s">
        <v>93</v>
      </c>
      <c r="B40" s="57">
        <f>IF($L$33="ap",IF(COUNTIF($P$33:$R$33,"lv1")&gt;0,IF(SUM($T$33:$V$33)=0,$S$33,LOOKUP("lv1",$P$33:$V$33,$T$33:$V$33)),IF(COUNTIF($P$34:$R$34,"lv1")&gt;0,IF(SUM($T$34:$V$34)=0,$S$34,LOOKUP("lv1",$P$34:$V$34,$T$34:$V$34)),IF(COUNTIF($P$35:$R$35,"lv1")&gt;0,IF(SUM($T$35:$V$35)=0,$S$35,LOOKUP("lv1",$P$35:$V$35,$T$35:$V$35)),""))))</f>
        <v>2</v>
      </c>
      <c r="C40" s="57">
        <f>IF($L$37="ap",IF(COUNTIF($P$37:$R$37,"lv1")&gt;0,IF(SUM($T$37:$V$37)=0,$S$37,LOOKUP("lv1",$P$37:$V$37,$T$37:$V$37)),IF($L$38="ap",IF(COUNTIF($P$38:$R$38,"lv1")&gt;0,IF(SUM($T$38:$V$38)=0,$S$38,LOOKUP("lv1",$P$38:$V$38,$T$38:$V$38)),""),"")))</f>
      </c>
      <c r="D40" s="57">
        <f>IF($L$42="ap",IF(COUNTIF($P$42:$R$42,"lv1")&gt;0,IF(SUM($T$42:$V$42)=0,$S$42,LOOKUP("lv1",$P$42:$V$42,$T$42:$V$42)),IF($L$43="ap",IF(COUNTIF($P$43:$R$43,"lv1")&gt;0,IF(SUM($T$43:$V$43)=0,$S$43,LOOKUP("lv1",$P$43:$V$43,$T$43:$V$43)),""),"")))</f>
      </c>
      <c r="E40" s="57">
        <f>IF($L$47="ap",IF(COUNTIF($P$47:$R$47,"lv1")&gt;0,IF(SUM($T$47:$V$47)=0,$S$47,LOOKUP("lv1",$P$47:$V$47,$T$47:$V$47)),IF($L$48="ap",IF(COUNTIF($P$48:$R$48,"lv1")&gt;0,IF(SUM($T$48:$V$48)=0,$S$48,LOOKUP("lv1",$P$48:$V$48,$T$48:$V$48)),""),"")))</f>
      </c>
      <c r="F40" s="6">
        <f>SUM(B40:E40)</f>
        <v>2</v>
      </c>
      <c r="K40" s="49" t="s">
        <v>94</v>
      </c>
      <c r="L40" s="49" t="s">
        <v>15</v>
      </c>
      <c r="M40" s="50">
        <f>$C$4</f>
        <v>9</v>
      </c>
      <c r="N40" s="51">
        <v>11</v>
      </c>
      <c r="O40" s="50">
        <f>N40-M40</f>
        <v>2</v>
      </c>
      <c r="P40" s="60" t="s">
        <v>82</v>
      </c>
      <c r="Q40" s="54" t="s">
        <v>90</v>
      </c>
      <c r="R40" s="52"/>
      <c r="S40" s="53">
        <f>IF(COUNTBLANK(P40:R40)=3,"",O40/(3-COUNTBLANK(P40:R40)))</f>
        <v>1</v>
      </c>
      <c r="T40" s="54"/>
      <c r="U40" s="54"/>
      <c r="V40" s="54"/>
      <c r="AA40" t="s">
        <v>95</v>
      </c>
    </row>
    <row r="41" spans="1:27" ht="12.75">
      <c r="A41" s="13" t="s">
        <v>54</v>
      </c>
      <c r="B41" s="57">
        <f>IF($L$33="ap",IF(COUNTIF($P$33:$R$33,"lv2")&gt;0,IF(SUM($T$33:$V$33)=0,$S$33,LOOKUP("lv2",$P$33:$V$33,$T$33:$V$33)),IF(COUNTIF($P$34:$R$34,"lv2")&gt;0,IF(SUM($T$34:$V$34)=0,$S$34,LOOKUP("lv2",$P$34:$V$34,$T$34:$V$34)),IF(COUNTIF($P$35:$R$35,"lv2")&gt;0,IF(SUM($T$35:$V$35)=0,$S$35,LOOKUP("lv2",$P$35:$V$35,$T$35:$V$35)),""))))</f>
      </c>
      <c r="C41" s="57">
        <f>IF($L$37="ap",IF(COUNTIF($P$37:$R$37,"lv2")&gt;0,IF(SUM($T$37:$V$37)=0,$S$37,LOOKUP("lv2",$P$37:$V$37,$T$37:$V$37)),IF($L$38="ap",IF(COUNTIF($P$38:$R$38,"lv2")&gt;0,IF(SUM($T$38:$V$38)=0,$S$38,LOOKUP("lv2",$P$38:$V$38,$T$38:$V$38)),""),"")))</f>
      </c>
      <c r="D41" s="57">
        <f>IF($L$42="ap",IF(COUNTIF($P$42:$R$42,"lv2")&gt;0,IF(SUM($T$42:$V$42)=0,$S$42,LOOKUP("lv2",$P$42:$V$42,$T$42:$V$42)),IF($L$43="ap",IF(COUNTIF($P$43:$R$43,"lv2")&gt;0,IF(SUM($T$43:$V$43)=0,$S$43,LOOKUP("lv2",$P$43:$V$43,$T$43:$V$43)),""),"")))</f>
      </c>
      <c r="E41" s="57">
        <f>IF($L$47="ap",IF(COUNTIF($P$47:$R$47,"lv2")&gt;0,IF(SUM($T$47:$V$47)=0,$S$47,LOOKUP("lv2",$P$47:$V$47,$T$47:$V$47)),IF($L$48="ap",IF(COUNTIF($P$48:$R$48,"lv2")&gt;0,IF(SUM($T$48:$V$48)=0,$S$48,LOOKUP("lv2",$P$48:$V$48,$T$48:$V$48)),""),"")))</f>
      </c>
      <c r="F41" s="6">
        <f>SUM(B41:E41)</f>
        <v>0</v>
      </c>
      <c r="K41" s="43"/>
      <c r="L41" s="11"/>
      <c r="M41" s="11"/>
      <c r="N41" s="58"/>
      <c r="O41" s="11"/>
      <c r="P41" s="11"/>
      <c r="Q41" s="11"/>
      <c r="R41" s="11"/>
      <c r="S41" s="59"/>
      <c r="T41" s="11"/>
      <c r="U41" s="11"/>
      <c r="V41" s="11"/>
      <c r="AA41" t="s">
        <v>96</v>
      </c>
    </row>
    <row r="42" spans="1:27" ht="12.75">
      <c r="A42" s="13" t="s">
        <v>56</v>
      </c>
      <c r="B42" s="57">
        <f>IF($L$33="ap",IF(COUNTIF($P$33:$R$33,"maths")&gt;0,IF(SUM($T$33:$V$33)=0,$S$33,LOOKUP("maths",$P$33:$V$33,$T$33:$V$33)),IF(COUNTIF($P$34:$R$34,"maths")&gt;0,IF(SUM($T$34:$V$34)=0,$S$34,LOOKUP("maths",$P$34:$V$34,$T$34:$V$34)),IF(COUNTIF($P$35:$R$35,"maths")&gt;0,IF(SUM($T$35:$V$35)=0,$S$35,LOOKUP("maths",$P$35:$V$35,$T$35:$V$35)),""))))</f>
        <v>2</v>
      </c>
      <c r="C42" s="57">
        <f>IF($L$37="ap",IF(COUNTIF($P$37:$R$37,"maths")&gt;0,IF(SUM($T$37:$V$37)=0,$S$37,LOOKUP("maths",$P$37:$V$37,$T$37:$V$37)),IF($L$38="ap",IF(COUNTIF($P$38:$R$38,"maths")&gt;0,IF(SUM($T$38:$V$38)=0,$S$38,LOOKUP("maths",$P$38:$V$38,$T$38:$V$38)),""),"")))</f>
        <v>2</v>
      </c>
      <c r="D42" s="57">
        <f>IF($L$42="ap",IF(COUNTIF($P$42:$R$42,"maths")&gt;0,IF(SUM($T$42:$V$42)=0,$S$42,LOOKUP("maths",$P$42:$V$42,$T$42:$V$42)),IF($L$43="ap",IF(COUNTIF($P$43:$R$43,"maths")&gt;0,IF(SUM($T$43:$V$43)=0,$S$43,LOOKUP("maths",$P$43:$V$43,$T$43:$V$43)),""),"")))</f>
        <v>1</v>
      </c>
      <c r="E42" s="57">
        <f>IF($L$47="ap",IF(COUNTIF($P$47:$R$47,"maths")&gt;0,IF(SUM($T$47:$V$47)=0,$S$47,LOOKUP("maths",$P$47:$V$47,$T$47:$V$47)),IF($L$48="ap",IF(COUNTIF($P$48:$R$48,"maths")&gt;0,IF(SUM($T$48:$V$48)=0,$S$48,LOOKUP("maths",$P$48:$V$48,$T$48:$V$48)),""),"")))</f>
        <v>1</v>
      </c>
      <c r="F42" s="6">
        <f>SUM(B42:E42)</f>
        <v>6</v>
      </c>
      <c r="K42" s="49" t="s">
        <v>97</v>
      </c>
      <c r="L42" s="49" t="s">
        <v>9</v>
      </c>
      <c r="M42" s="50">
        <f>$D$4</f>
        <v>8</v>
      </c>
      <c r="N42" s="51">
        <v>10</v>
      </c>
      <c r="O42" s="50">
        <f>N42-M42</f>
        <v>2</v>
      </c>
      <c r="P42" s="52" t="s">
        <v>82</v>
      </c>
      <c r="Q42" s="52" t="s">
        <v>84</v>
      </c>
      <c r="R42" s="52"/>
      <c r="S42" s="53">
        <f>IF(COUNTBLANK(P42:R42)=3,"",O42/(3-COUNTBLANK(P42:R42)))</f>
        <v>1</v>
      </c>
      <c r="T42" s="54"/>
      <c r="U42" s="54"/>
      <c r="V42" s="54"/>
      <c r="AA42" t="s">
        <v>98</v>
      </c>
    </row>
    <row r="43" spans="1:22" ht="12.75">
      <c r="A43" s="13" t="s">
        <v>58</v>
      </c>
      <c r="B43" s="57">
        <f>IF($L$33="ap",IF(COUNTIF($P$33:$R$33,"svt")&gt;0,IF(SUM($T$33:$V$33)=0,$S$33,LOOKUP("svt",$P$33:$V$33,$T$33:$V$33)),IF(COUNTIF($P$34:$R$34,"svt")&gt;0,IF(SUM($T$34:$V$34)=0,$S$34,LOOKUP("svt",$P$34:$V$34,$T$34:$V$34)),IF(COUNTIF($P$35:$R$35,"svt")&gt;0,IF(SUM($T$35:$V$35)=0,$S$35,LOOKUP("svt",$P$35:$V$35,$T$35:$V$35)),""))))</f>
      </c>
      <c r="C43" s="57">
        <f>IF($L$37="ap",IF(COUNTIF($P$37:$R$37,"svt")&gt;0,IF(SUM($T$37:$V$37)=0,$S$37,LOOKUP("svt",$P$37:$V$37,$T$37:$V$37)),IF($L$38="ap",IF(COUNTIF($P$38:$R$38,"svt")&gt;0,IF(SUM($T$38:$V$38)=0,$S$38,LOOKUP("svt",$P$38:$V$38,$T$38:$V$38)),""),"")))</f>
      </c>
      <c r="D43" s="57">
        <f>IF($L$42="ap",IF(COUNTIF($P$42:$R$42,"svt")&gt;0,IF(SUM($T$42:$V$42)=0,$S$42,LOOKUP("svt",$P$42:$V$42,$T$42:$V$42)),IF($L$43="ap",IF(COUNTIF($P$43:$R$43,"svt")&gt;0,IF(SUM($T$43:$V$43)=0,$S$43,LOOKUP("svt",$P$43:$V$43,$T$43:$V$43)),""),"")))</f>
      </c>
      <c r="E43" s="57">
        <f>IF($L$47="ap",IF(COUNTIF($P$47:$R$47,"svt")&gt;0,IF(SUM($T$47:$V$47)=0,$S$47,LOOKUP("svt",$P$47:$V$47,$T$47:$V$47)),IF($L$48="ap",IF(COUNTIF($P$48:$R$48,"svt")&gt;0,IF(SUM($T$48:$V$48)=0,$S$48,LOOKUP("svt",$P$48:$V$48,$T$48:$V$48)),""),"")))</f>
      </c>
      <c r="F43" s="6">
        <f>SUM(B43:E43)</f>
        <v>0</v>
      </c>
      <c r="K43" s="49" t="s">
        <v>99</v>
      </c>
      <c r="L43" s="49" t="str">
        <f>IF(N5=2,"ap","epi")</f>
        <v>epi</v>
      </c>
      <c r="M43" s="50">
        <f>$D$4</f>
        <v>8</v>
      </c>
      <c r="N43" s="51">
        <v>10</v>
      </c>
      <c r="O43" s="50">
        <f>N43-M43</f>
        <v>2</v>
      </c>
      <c r="P43" s="52"/>
      <c r="Q43" s="52"/>
      <c r="R43" s="52"/>
      <c r="S43" s="53">
        <f>IF(COUNTBLANK(P43:R43)=3,"",O43/(3-COUNTBLANK(P43:R43)))</f>
      </c>
      <c r="T43" s="54"/>
      <c r="U43" s="54"/>
      <c r="V43" s="54"/>
    </row>
    <row r="44" spans="1:22" ht="12.75">
      <c r="A44" s="13" t="s">
        <v>60</v>
      </c>
      <c r="B44" s="57">
        <f>IF($L$33="ap",IF(COUNTIF($P$33:$R$33,"techno")&gt;0,IF(SUM($T$33:$V$33)=0,$S$33,LOOKUP("techno",$P$33:$V$33,$T$33:$V$33)),IF(COUNTIF($P$34:$R$34,"techno")&gt;0,IF(SUM($T$34:$V$34)=0,$S$34,LOOKUP("techno",$P$34:$V$34,$T$34:$V$34)),IF(COUNTIF($P$35:$R$35,"techno")&gt;0,IF(SUM($T$35:$V$35)=0,$S$35,LOOKUP("techno",$P$35:$V$35,$T$35:$V$35)),""))))</f>
      </c>
      <c r="C44" s="57">
        <f>IF($L$37="ap",IF(COUNTIF($P$37:$R$37,"techno")&gt;0,IF(SUM($T$37:$V$37)=0,$S$37,LOOKUP("techno",$P$37:$V$37,$T$37:$V$37)),IF($L$38="ap",IF(COUNTIF($P$38:$R$38,"techno")&gt;0,IF(SUM($T$38:$V$38)=0,$S$38,LOOKUP("techno",$P$38:$V$38,$T$38:$V$38)),""),"")))</f>
      </c>
      <c r="D44" s="57">
        <f>IF($L$42="ap",IF(COUNTIF($P$42:$R$42,"techno")&gt;0,IF(SUM($T$42:$V$42)=0,$S$42,LOOKUP("techno",$P$42:$V$42,$T$42:$V$42)),IF($L$43="ap",IF(COUNTIF($P$43:$R$43,"techno")&gt;0,IF(SUM($T$43:$V$43)=0,$S$43,LOOKUP("techno",$P$43:$V$43,$T$43:$V$43)),""),"")))</f>
      </c>
      <c r="E44" s="57">
        <f>IF($L$47="ap",IF(COUNTIF($P$47:$R$47,"techno")&gt;0,IF(SUM($T$47:$V$47)=0,$S$47,LOOKUP("techno",$P$47:$V$47,$T$47:$V$47)),IF($L$48="ap",IF(COUNTIF($P$48:$R$48,"techno")&gt;0,IF(SUM($T$48:$V$48)=0,$S$48,LOOKUP("techno",$P$48:$V$48,$T$48:$V$48)),""),"")))</f>
      </c>
      <c r="F44" s="6">
        <f>SUM(B44:E44)</f>
        <v>0</v>
      </c>
      <c r="K44" s="49" t="s">
        <v>100</v>
      </c>
      <c r="L44" s="49" t="s">
        <v>15</v>
      </c>
      <c r="M44" s="50">
        <f>$D$4</f>
        <v>8</v>
      </c>
      <c r="N44" s="51">
        <v>10</v>
      </c>
      <c r="O44" s="50">
        <f>N44-M44</f>
        <v>2</v>
      </c>
      <c r="P44" s="52" t="s">
        <v>98</v>
      </c>
      <c r="Q44" s="52" t="s">
        <v>78</v>
      </c>
      <c r="R44" s="52"/>
      <c r="S44" s="53">
        <f>IF(COUNTBLANK(P44:R44)=3,"",O44/(3-COUNTBLANK(P44:R44)))</f>
        <v>1</v>
      </c>
      <c r="T44" s="54">
        <v>1</v>
      </c>
      <c r="U44" s="54">
        <v>1</v>
      </c>
      <c r="V44" s="54"/>
    </row>
    <row r="45" spans="1:22" ht="12.75">
      <c r="A45" s="13" t="s">
        <v>62</v>
      </c>
      <c r="B45" s="57">
        <f>IF($L$33="ap",IF(COUNTIF($P$33:$R$33,"phys")&gt;0,IF(SUM($T$33:$V$33)=0,$S$33,LOOKUP("phys",$P$33:$V$33,$T$33:$V$33)),IF(COUNTIF($P$34:$R$34,"phys")&gt;0,IF(SUM($T$34:$V$34)=0,$S$34,LOOKUP("phys",$P$34:$V$34,$T$34:$V$34)),IF(COUNTIF($P$35:$R$35,"phys")&gt;0,IF(SUM($T$35:$V$35)=0,$S$35,LOOKUP("phys",$P$35:$V$35,$T$35:$V$35)),""))))</f>
      </c>
      <c r="C45" s="57">
        <f>IF($L$37="ap",IF(COUNTIF($P$37:$R$37,"phys")&gt;0,IF(SUM($T$37:$V$37)=0,$S$37,LOOKUP("phys",$P$37:$V$37,$T$37:$V$37)),IF($L$38="ap",IF(COUNTIF($P$38:$R$38,"phys")&gt;0,IF(SUM($T$38:$V$38)=0,$S$38,LOOKUP("phys",$P$38:$V$38,$T$38:$V$38)),""),"")))</f>
      </c>
      <c r="D45" s="57">
        <f>IF($L$42="ap",IF(COUNTIF($P$42:$R$42,"phys")&gt;0,IF(SUM($T$42:$V$42)=0,$S$42,LOOKUP("phys",$P$42:$V$42,$T$42:$V$42)),IF($L$43="ap",IF(COUNTIF($P$43:$R$43,"phys")&gt;0,IF(SUM($T$43:$V$43)=0,$S$43,LOOKUP("phys",$P$43:$V$43,$T$43:$V$43)),""),"")))</f>
      </c>
      <c r="E45" s="57">
        <f>IF($L$47="ap",IF(COUNTIF($P$47:$R$47,"phys")&gt;0,IF(SUM($T$47:$V$47)=0,$S$47,LOOKUP("phys",$P$47:$V$47,$T$47:$V$47)),IF($L$48="ap",IF(COUNTIF($P$48:$R$48,"phys")&gt;0,IF(SUM($T$48:$V$48)=0,$S$48,LOOKUP("phys",$P$48:$V$48,$T$48:$V$48)),""),"")))</f>
      </c>
      <c r="F45" s="6">
        <f>SUM(B45:E45)</f>
        <v>0</v>
      </c>
      <c r="K45" s="49" t="s">
        <v>101</v>
      </c>
      <c r="L45" s="49" t="s">
        <v>15</v>
      </c>
      <c r="M45" s="50">
        <f>$D$4</f>
        <v>8</v>
      </c>
      <c r="N45" s="51">
        <v>10</v>
      </c>
      <c r="O45" s="50">
        <f>N45-M45</f>
        <v>2</v>
      </c>
      <c r="P45" s="52"/>
      <c r="Q45" s="52"/>
      <c r="R45" s="52"/>
      <c r="S45" s="53">
        <f>IF(COUNTBLANK(P45:R45)=3,"",O45/(3-COUNTBLANK(P45:R45)))</f>
      </c>
      <c r="T45" s="54"/>
      <c r="U45" s="54"/>
      <c r="V45" s="54"/>
    </row>
    <row r="46" spans="11:22" ht="12.75">
      <c r="K46" s="43"/>
      <c r="L46" s="11"/>
      <c r="M46" s="11"/>
      <c r="N46" s="58"/>
      <c r="O46" s="11"/>
      <c r="P46" s="11"/>
      <c r="Q46" s="11"/>
      <c r="R46" s="11"/>
      <c r="S46" s="59"/>
      <c r="T46" s="11"/>
      <c r="U46" s="11"/>
      <c r="V46" s="11"/>
    </row>
    <row r="47" spans="1:22" ht="12.75" customHeight="1">
      <c r="A47" s="47" t="s">
        <v>102</v>
      </c>
      <c r="B47" s="47"/>
      <c r="C47" s="47"/>
      <c r="D47" s="47"/>
      <c r="E47" s="47"/>
      <c r="F47" s="48">
        <f>SUM(F49:F59)</f>
        <v>10</v>
      </c>
      <c r="G47" t="s">
        <v>103</v>
      </c>
      <c r="K47" s="49" t="s">
        <v>104</v>
      </c>
      <c r="L47" s="49" t="s">
        <v>9</v>
      </c>
      <c r="M47" s="50">
        <f>$E$4</f>
        <v>8</v>
      </c>
      <c r="N47" s="51">
        <v>10</v>
      </c>
      <c r="O47" s="50">
        <f>N47-M47</f>
        <v>2</v>
      </c>
      <c r="P47" s="52" t="s">
        <v>82</v>
      </c>
      <c r="Q47" s="52" t="s">
        <v>84</v>
      </c>
      <c r="R47" s="54"/>
      <c r="S47" s="53">
        <f>IF(COUNTBLANK(P47:R47)=3,"",O47/(3-COUNTBLANK(P47:R47)))</f>
        <v>1</v>
      </c>
      <c r="T47" s="54"/>
      <c r="U47" s="54"/>
      <c r="V47" s="54"/>
    </row>
    <row r="48" spans="1:22" ht="12.75">
      <c r="A48" s="13" t="s">
        <v>27</v>
      </c>
      <c r="B48" s="55" t="s">
        <v>1</v>
      </c>
      <c r="C48" s="55" t="s">
        <v>2</v>
      </c>
      <c r="D48" s="55" t="s">
        <v>3</v>
      </c>
      <c r="E48" s="55" t="s">
        <v>4</v>
      </c>
      <c r="F48" s="6" t="s">
        <v>17</v>
      </c>
      <c r="K48" s="49" t="s">
        <v>105</v>
      </c>
      <c r="L48" s="49" t="str">
        <f>IF(O5=2,"ap","epi")</f>
        <v>epi</v>
      </c>
      <c r="M48" s="50">
        <f>$E$4</f>
        <v>8</v>
      </c>
      <c r="N48" s="51">
        <v>10</v>
      </c>
      <c r="O48" s="50">
        <f>N48-M48</f>
        <v>2</v>
      </c>
      <c r="P48" s="54" t="s">
        <v>82</v>
      </c>
      <c r="Q48" s="54" t="s">
        <v>90</v>
      </c>
      <c r="R48" s="54"/>
      <c r="S48" s="53">
        <f>IF(COUNTBLANK(P48:R48)=3,"",O48/(3-COUNTBLANK(P48:R48)))</f>
        <v>1</v>
      </c>
      <c r="T48" s="54">
        <v>1</v>
      </c>
      <c r="U48" s="54">
        <v>1</v>
      </c>
      <c r="V48" s="54"/>
    </row>
    <row r="49" spans="1:22" ht="12.75">
      <c r="A49" s="13" t="s">
        <v>42</v>
      </c>
      <c r="B49" s="6"/>
      <c r="C49" s="57">
        <f>IF($L$38="epi",IF(COUNTIF($P$38:$R$38,"eps")&gt;0,IF(SUM($T$38:$V$38)=0,$S$38,LOOKUP("eps",$P$38:$V$38,$T$38:$V$38)),IF(COUNTIF($P$39:$R$39,"eps")&gt;0,IF(SUM($T$39:$V$39)=0,$S$39,LOOKUP("eps",$P$39:$V$39,$T$39:$V$39)),IF(COUNTIF($P$40:$R$40,"eps")&gt;0,IF(SUM($T$40:$V$40)=0,$S$40,LOOKUP("eps",$P$40:$V$40,$T$40:$V$40)),""))),IF(COUNTIF($P$39:$R$39,"eps")&gt;0,IF(SUM($T$39:$V$39)=0,$S$39,LOOKUP("eps",$P$39:$V$39,$T$39:$V$39)),IF(COUNTIF($P$40:$R$40,"eps")&gt;0,IF(SUM($T$40:$V$40)=0,$S$40,LOOKUP("eps",$P$40:$V$40,$T$40:$V$40)),"")))</f>
      </c>
      <c r="D49" s="57">
        <f>IF($L$43="epi",IF(COUNTIF($P$43:$R$43,"eps")&gt;0,IF(SUM($T$43:$V$43)=0,$S$43,LOOKUP("eps",$P$43:$V$43,$T$43:$V$43)),IF(COUNTIF($P$44:$R$44,"eps")&gt;0,IF(SUM($T$44:$V$44)=0,$S$44,LOOKUP("eps",$P$44:$V$44,$T$44:$V$44)),IF(COUNTIF($P$45:$R$45,"eps")&gt;0,IF(SUM($T$45:$V$45)=0,$S$45,LOOKUP("eps",$P$45:$V$45,$T$45:$V$45)),""))),IF(COUNTIF($P$44:$R$44,"eps")&gt;0,IF(SUM($T$44:$V$44)=0,$S$44,LOOKUP("eps",$P$45:$V$45,$T$44:$V$44)),IF(COUNTIF($P$45:$R$45,"eps")&gt;0,IF(SUM($T$45:$V$45)=0,$S$45,LOOKUP("eps",$P$45:$V$45,$T$45:$V$45)),"")))</f>
        <v>1</v>
      </c>
      <c r="E49" s="57">
        <f>IF($L$48="epi",IF(COUNTIF($P$48:$R$48,"eps")&gt;0,IF(SUM($T$48:$V$48)=0,$S$48,LOOKUP("eps",$P$48:$V$48,$T$48:$V$48)),IF(COUNTIF($P$49:$R$49,"eps")&gt;0,IF(SUM($T$49:$V$49)=0,$S$49,LOOKUP("eps",$P$49:$V$49,$T$49:$V$49)),IF(COUNTIF($P$50:$R$50,"eps")&gt;0,IF(SUM($T$50:$V$50)=0,$S$50,LOOKUP("eps",$P$50:$V$50,$T$50:$V$50)),""))),IF(COUNTIF($P$49:$R$49,"eps")&gt;0,IF(SUM($T$49:$V$49)=0,$S$49,LOOKUP("eps",$P$50:$V$50,$T$49:$V$49)),IF(COUNTIF($P$50:$R$50,"eps")&gt;0,IF(SUM($T$50:$V$50)=0,$S$50,LOOKUP("eps",$P$50:$V$50,$T$50:$V$50)),"")))</f>
      </c>
      <c r="F49" s="6">
        <f>SUM(B49:E49)</f>
        <v>1</v>
      </c>
      <c r="K49" s="49" t="s">
        <v>106</v>
      </c>
      <c r="L49" s="49" t="s">
        <v>15</v>
      </c>
      <c r="M49" s="50">
        <f>$E$4</f>
        <v>8</v>
      </c>
      <c r="N49" s="51">
        <v>10</v>
      </c>
      <c r="O49" s="50">
        <f>N49-M49</f>
        <v>2</v>
      </c>
      <c r="P49" s="54"/>
      <c r="Q49" s="54"/>
      <c r="R49" s="54"/>
      <c r="S49" s="53">
        <f>IF(COUNTBLANK(P49:R49)=3,"",O49/(3-COUNTBLANK(P49:R49)))</f>
      </c>
      <c r="T49" s="54"/>
      <c r="U49" s="54"/>
      <c r="V49" s="54"/>
    </row>
    <row r="50" spans="1:22" ht="12.75">
      <c r="A50" s="13" t="s">
        <v>44</v>
      </c>
      <c r="B50" s="6"/>
      <c r="C50" s="57">
        <f>IF($L$38="epi",IF(COUNTIF($P$38:$R$38,"edart")&gt;0,IF(SUM($T$38:$V$38)=0,$S$38,LOOKUP("edart",$P$38:$V$38,$T$38:$V$38)),IF(COUNTIF($P$39:$R$39,"edart")&gt;0,IF(SUM($T$39:$V$39)=0,$S$39,LOOKUP("edart",$P$39:$V$39,$T$39:$V$39)),IF(COUNTIF($P$40:$R$40,"edart")&gt;0,IF(SUM($T$40:$V$40)=0,$S$40,LOOKUP("edart",$P$40:$V$40,$T$40:$V$40)),""))),IF(COUNTIF($P$39:$R$39,"edart")&gt;0,IF(SUM($T$39:$V$39)=0,$S$39,LOOKUP("edart",$P$39:$V$39,$T$39:$V$39)),IF(COUNTIF($P$40:$R$40,"edart")&gt;0,IF(SUM($T$40:$V$40)=0,$S$40,LOOKUP("edart",$P$40:$V$40,$T$40:$V$40)),"")))</f>
      </c>
      <c r="D50" s="57">
        <f>IF($L$43="epi",IF(COUNTIF($P$43:$R$43,"edart")&gt;0,IF(SUM($T$43:$V$43)=0,$S$43,LOOKUP("edart",$P$43:$V$43,$T$43:$V$43)),IF(COUNTIF($P$44:$R$44,"edart")&gt;0,IF(SUM($T$44:$V$44)=0,$S$44,LOOKUP("edart",$P$44:$V$44,$T$44:$V$44)),IF(COUNTIF($P$45:$R$45,"edart")&gt;0,IF(SUM($T$45:$V$45)=0,$S$45,LOOKUP("edart",$P$45:$V$45,$T$45:$V$45)),""))),IF(COUNTIF($P$44:$R$44,"edart")&gt;0,IF(SUM($T$44:$V$44)=0,$S$44,LOOKUP("edart",$P$45:$V$45,$T$44:$V$44)),IF(COUNTIF($P$45:$R$45,"edart")&gt;0,IF(SUM($T$45:$V$45)=0,$S$45,LOOKUP("edart",$P$45:$V$45,$T$45:$V$45)),"")))</f>
      </c>
      <c r="E50" s="57">
        <f>IF($L$48="epi",IF(COUNTIF($P$48:$R$48,"edart")&gt;0,IF(SUM($T$48:$V$48)=0,$S$48,LOOKUP("edart",$P$48:$V$48,$T$48:$V$48)),IF(COUNTIF($P$49:$R$49,"edart")&gt;0,IF(SUM($T$49:$V$49)=0,$S$49,LOOKUP("edart",$P$49:$V$49,$T$49:$V$49)),IF(COUNTIF($P$50:$R$50,"edart")&gt;0,IF(SUM($T$50:$V$50)=0,$S$50,LOOKUP("edart",$P$50:$V$50,$T$50:$V$50)),""))),IF(COUNTIF($P$49:$R$49,"edart")&gt;0,IF(SUM($T$49:$V$49)=0,$S$49,LOOKUP("edart",$P$50:$V$50,$T$49:$V$49)),IF(COUNTIF($P$50:$R$50,"edart")&gt;0,IF(SUM($T$50:$V$50)=0,$S$50,LOOKUP("edart",$P$50:$V$50,$T$50:$V$50)),"")))</f>
      </c>
      <c r="F50" s="6">
        <f>SUM(B50:E50)</f>
        <v>0</v>
      </c>
      <c r="K50" s="49" t="s">
        <v>107</v>
      </c>
      <c r="L50" s="49" t="s">
        <v>15</v>
      </c>
      <c r="M50" s="50">
        <f>$E$4</f>
        <v>8</v>
      </c>
      <c r="N50" s="51">
        <v>10</v>
      </c>
      <c r="O50" s="50">
        <f>N50-M50</f>
        <v>2</v>
      </c>
      <c r="P50" s="54" t="s">
        <v>92</v>
      </c>
      <c r="Q50" s="54" t="s">
        <v>84</v>
      </c>
      <c r="R50" s="54"/>
      <c r="S50" s="53">
        <f>IF(COUNTBLANK(P50:R50)=3,"",O50/(3-COUNTBLANK(P50:R50)))</f>
        <v>1</v>
      </c>
      <c r="T50" s="60">
        <v>1</v>
      </c>
      <c r="U50" s="60">
        <v>1</v>
      </c>
      <c r="V50" s="54"/>
    </row>
    <row r="51" spans="1:15" ht="12.75">
      <c r="A51" s="13" t="s">
        <v>46</v>
      </c>
      <c r="B51" s="6"/>
      <c r="C51" s="57">
        <f>IF($L$38="epi",IF(COUNTIF($P$38:$R$38,"edmu")&gt;0,IF(SUM($T$38:$V$38)=0,$S$38,LOOKUP("edmu",$P$38:$V$38,$T$38:$V$38)),IF(COUNTIF($P$39:$R$39,"edmu")&gt;0,IF(SUM($T$39:$V$39)=0,$S$39,LOOKUP("edmu",$P$39:$V$39,$T$39:$V$39)),IF(COUNTIF($P$40:$R$40,"edmu")&gt;0,IF(SUM($T$40:$V$40)=0,$S$40,LOOKUP("edmu",$P$40:$V$40,$T$40:$V$40)),""))),IF(COUNTIF($P$39:$R$39,"edmu")&gt;0,IF(SUM($T$39:$V$39)=0,$S$39,LOOKUP("edmu",$P$39:$V$39,$T$39:$V$39)),IF(COUNTIF($P$40:$R$40,"edmu")&gt;0,IF(SUM($T$40:$V$40)=0,$S$40,LOOKUP("edmu",$P$40:$V$40,$T$40:$V$40)),"")))</f>
      </c>
      <c r="D51" s="57">
        <f>IF($L$43="epi",IF(COUNTIF($P$43:$R$43,"edmu")&gt;0,IF(SUM($T$43:$V$43)=0,$S$43,LOOKUP("edmu",$P$43:$V$43,$T$43:$V$43)),IF(COUNTIF($P$44:$R$44,"edmu")&gt;0,IF(SUM($T$44:$V$44)=0,$S$44,LOOKUP("edmu",$P$44:$V$44,$T$44:$V$44)),IF(COUNTIF($P$45:$R$45,"edmu")&gt;0,IF(SUM($T$45:$V$45)=0,$S$45,LOOKUP("edmu",$P$45:$V$45,$T$45:$V$45)),""))),IF(COUNTIF($P$44:$R$44,"edmu")&gt;0,IF(SUM($T$44:$V$44)=0,$S$44,LOOKUP("edmu",$P$45:$V$45,$T$44:$V$44)),IF(COUNTIF($P$45:$R$45,"edmu")&gt;0,IF(SUM($T$45:$V$45)=0,$S$45,LOOKUP("edmu",$P$45:$V$45,$T$45:$V$45)),"")))</f>
      </c>
      <c r="E51" s="57">
        <f>IF($L$48="epi",IF(COUNTIF($P$48:$R$48,"edmu")&gt;0,IF(SUM($T$48:$V$48)=0,$S$48,LOOKUP("edmu",$P$48:$V$48,$T$48:$V$48)),IF(COUNTIF($P$49:$R$49,"edmu")&gt;0,IF(SUM($T$49:$V$49)=0,$S$49,LOOKUP("edmu",$P$49:$V$49,$T$49:$V$49)),IF(COUNTIF($P$50:$R$50,"edmu")&gt;0,IF(SUM($T$50:$V$50)=0,$S$50,LOOKUP("edmu",$P$50:$V$50,$T$50:$V$50)),""))),IF(COUNTIF($P$49:$R$49,"edmu")&gt;0,IF(SUM($T$49:$V$49)=0,$S$49,LOOKUP("edmu",$P$50:$V$50,$T$49:$V$49)),IF(COUNTIF($P$50:$R$50,"edmu")&gt;0,IF(SUM($T$50:$V$50)=0,$S$50,LOOKUP("edmu",$P$50:$V$50,$T$50:$V$50)),"")))</f>
      </c>
      <c r="F51" s="6">
        <f>SUM(B51:E51)</f>
        <v>0</v>
      </c>
      <c r="N51" s="61" t="s">
        <v>17</v>
      </c>
      <c r="O51" s="10">
        <f>SUM(O33:O50)</f>
        <v>30</v>
      </c>
    </row>
    <row r="52" spans="1:20" ht="12.75">
      <c r="A52" s="13" t="s">
        <v>48</v>
      </c>
      <c r="B52" s="6"/>
      <c r="C52" s="57">
        <f>IF($L$38="epi",IF(COUNTIF($P$38:$R$38,"français")&gt;0,IF(SUM($T$38:$V$38)=0,$S$38,LOOKUP("français",$P$38:$V$38,$T$38:$V$38)),IF(COUNTIF($P$39:$R$39,"français")&gt;0,IF(SUM($T$39:$V$39)=0,$S$39,LOOKUP("français",$P$39:$V$39,$T$39:$V$39)),IF(COUNTIF($P$40:$R$40,"français")&gt;0,IF(SUM($T$40:$V$40)=0,$S$40,LOOKUP("français",$P$40:$V$40,$T$40:$V$40)),""))),IF(COUNTIF($P$39:$R$39,"français")&gt;0,IF(SUM($T$39:$V$39)=0,$S$39,LOOKUP("français",$P$39:$V$39,$T$39:$V$39)),IF(COUNTIF($P$40:$R$40,"français")&gt;0,IF(SUM($T$40:$V$40)=0,$S$40,LOOKUP("français",$P$40:$V$40,$T$40:$V$40)),"")))</f>
        <v>1</v>
      </c>
      <c r="D52" s="57">
        <f>IF($L$43="epi",IF(COUNTIF($P$43:$R$43,"français")&gt;0,IF(SUM($T$43:$V$43)=0,$S$43,LOOKUP("français",$P$43:$V$43,$T$43:$V$43)),IF(COUNTIF($P$44:$R$44,"français")&gt;0,IF(SUM($T$44:$V$44)=0,$S$44,LOOKUP("français",$P$44:$V$44,$T$44:$V$44)),IF(COUNTIF($P$45:$R$45,"français")&gt;0,IF(SUM($T$45:$V$45)=0,$S$45,LOOKUP("français",$P$45:$V$45,$T$45:$V$45)),""))),IF(COUNTIF($P$44:$R$44,"français")&gt;0,IF(SUM($T$44:$V$44)=0,$S$44,LOOKUP("français",$P$45:$V$45,$T$44:$V$44)),IF(COUNTIF($P$45:$R$45,"français")&gt;0,IF(SUM($T$45:$V$45)=0,$S$45,LOOKUP("français",$P$45:$V$45,$T$45:$V$45)),"")))</f>
      </c>
      <c r="E52" s="57">
        <f>IF($L$48="epi",IF(COUNTIF($P$48:$R$48,"français")&gt;0,IF(SUM($T$48:$V$48)=0,$S$48,LOOKUP("français",$P$48:$V$48,$T$48:$V$48)),IF(COUNTIF($P$49:$R$49,"français")&gt;0,IF(SUM($T$49:$V$49)=0,$S$49,LOOKUP("français",$P$49:$V$49,$T$49:$V$49)),IF(COUNTIF($P$50:$R$50,"français")&gt;0,IF(SUM($T$50:$V$50)=0,$S$50,LOOKUP("français",$P$50:$V$50,$T$50:$V$50)),""))),IF(COUNTIF($P$49:$R$49,"français")&gt;0,IF(SUM($T$49:$V$49)=0,$S$49,LOOKUP("français",$P$50:$V$50,$T$49:$V$49)),IF(COUNTIF($P$50:$R$50,"français")&gt;0,IF(SUM($T$50:$V$50)=0,$S$50,LOOKUP("français",$P$50:$V$50,$T$50:$V$50)),"")))</f>
        <v>1</v>
      </c>
      <c r="F52" s="6">
        <f>SUM(B52:E52)</f>
        <v>2</v>
      </c>
      <c r="M52" s="62" t="s">
        <v>108</v>
      </c>
      <c r="N52" s="62"/>
      <c r="O52" s="63">
        <f>O51-L27-M27</f>
        <v>6</v>
      </c>
      <c r="T52" s="64"/>
    </row>
    <row r="53" spans="1:20" ht="12.75">
      <c r="A53" s="13" t="s">
        <v>50</v>
      </c>
      <c r="B53" s="6"/>
      <c r="C53" s="57">
        <f>IF($L$38="epi",IF(COUNTIF($P$38:$R$38,"histgeo")&gt;0,IF(SUM($T$38:$V$38)=0,$S$38,LOOKUP("histgeo",$P$38:$V$38,$T$38:$V$38)),IF(COUNTIF($P$39:$R$39,"histgeo")&gt;0,IF(SUM($T$39:$V$39)=0,$S$39,LOOKUP("histgeo",$P$39:$V$39,$T$39:$V$39)),IF(COUNTIF($P$40:$R$40,"histgeo")&gt;0,IF(SUM($T$40:$V$40)=0,$S$40,LOOKUP("histgeo",$P$40:$V$40,$T$40:$V$40)),""))),IF(COUNTIF($P$39:$R$39,"histgeo")&gt;0,IF(SUM($T$39:$V$39)=0,$S$39,LOOKUP("histgeo",$P$40:$V$40,$T$39:$V$39)),IF(COUNTIF($P$40:$R$40,"histgeo")&gt;0,IF(SUM($T$40:$V$40)=0,$S$40,LOOKUP("histgeo",$P$40:$V$40,$T$40:$V$40)),"")))</f>
        <v>1</v>
      </c>
      <c r="D53" s="57">
        <f>IF($L$43="epi",IF(COUNTIF($P$43:$R$43,"histgeo")&gt;0,IF(SUM($T$43:$V$43)=0,$S$43,LOOKUP("histgeo",$P$43:$V$43,$T$43:$V$43)),IF(COUNTIF($P$44:$R$44,"histgeo")&gt;0,IF(SUM($T$44:$V$44)=0,$S$44,LOOKUP("histgeo",$P$44:$V$44,$T$44:$V$44)),IF(COUNTIF($P$45:$R$45,"histgeo")&gt;0,IF(SUM($T$45:$V$45)=0,$S$45,LOOKUP("histgeo",$P$45:$V$45,$T$45:$V$45)),""))),IF(COUNTIF($P$44:$R$44,"histgeo")&gt;0,IF(SUM($T$44:$V$44)=0,$S$44,LOOKUP("histgeo",$P$45:$V$45,$T$44:$V$44)),IF(COUNTIF($P$45:$R$45,"histgeo")&gt;0,IF(SUM($T$45:$V$45)=0,$S$45,LOOKUP("histgeo",$P$45:$V$45,$T$45:$V$45)),"")))</f>
      </c>
      <c r="E53" s="57">
        <f>IF($L$48="epi",IF(COUNTIF($P$48:$R$48,"histgeo")&gt;0,IF(SUM($T$48:$V$48)=0,$S$48,LOOKUP("histgeo",$P$48:$V$48,$T$48:$V$48)),IF(COUNTIF($P$49:$R$49,"histgeo")&gt;0,IF(SUM($T$49:$V$49)=0,$S$49,LOOKUP("histgeo",$P$49:$V$49,$T$49:$V$49)),IF(COUNTIF($P$50:$R$50,"histgeo")&gt;0,IF(SUM($T$50:$V$50)=0,$S$50,LOOKUP("histgeo",$P$50:$V$50,$T$50:$V$50)),""))),IF(COUNTIF($P$49:$R$49,"histgeo")&gt;0,IF(SUM($T$49:$V$49)=0,$S$49,LOOKUP("histgeo",$P$50:$V$50,$T$49:$V$49)),IF(COUNTIF($P$50:$R$50,"histgeo")&gt;0,IF(SUM($T$50:$V$50)=0,$S$50,LOOKUP("histgeo",$P$50:$V$50,$T$50:$V$50)),"")))</f>
      </c>
      <c r="F53" s="6">
        <f>SUM(B53:E53)</f>
        <v>1</v>
      </c>
      <c r="T53" s="64"/>
    </row>
    <row r="54" spans="1:26" ht="12.75">
      <c r="A54" s="13" t="s">
        <v>93</v>
      </c>
      <c r="B54" s="6"/>
      <c r="C54" s="57">
        <f>IF($L$38="epi",IF(COUNTIF($P$38:$R$38,"lv1")&gt;0,IF(SUM($T$38:$V$38)=0,$S$38,LOOKUP("lv1",$P$38:$V$38,$T$38:$V$38)),IF(COUNTIF($P$39:$R$39,"lv1")&gt;0,IF(SUM($T$39:$V$39)=0,$S$39,LOOKUP("lv1",$P$39:$V$39,$T$39:$V$39)),IF(COUNTIF($P$40:$R$40,"lv1")&gt;0,IF(SUM($T$40:$V$40)=0,$S$40,LOOKUP("lv1",$P$40:$V$40,$T$40:$V$40)),""))),IF(COUNTIF($P$39:$R$39,"lv1")&gt;0,IF(SUM($T$39:$V$39)=0,$S$39,LOOKUP("lv1",$P$39:$V$39,$T$39:$V$39)),IF(COUNTIF($P$40:$R$40,"lv1")&gt;0,IF(SUM($T$40:$V$40)=0,$S$40,LOOKUP("lv1",$P$40:$V$40,$T$40:$V$40)),"")))</f>
      </c>
      <c r="D54" s="57">
        <f>IF($L$43="epi",IF(COUNTIF($P$43:$R$43,"lv1")&gt;0,IF(SUM($T$43:$V$43)=0,$S$43,LOOKUP("lv1",$P$43:$V$43,$T$43:$V$43)),IF(COUNTIF($P$44:$R$44,"lv1")&gt;0,IF(SUM($T$44:$V$44)=0,$S$44,LOOKUP("lv1",$P$44:$V$44,$T$44:$V$44)),IF(COUNTIF($P$45:$R$45,"lv1")&gt;0,IF(SUM($T$45:$V$45)=0,$S$45,LOOKUP("lv1",$P$45:$V$45,$T$45:$V$45)),""))),IF(COUNTIF($P$44:$R$44,"lv1")&gt;0,IF(SUM($T$44:$V$44)=0,$S$44,LOOKUP("lv1",$P$45:$V$45,$T$44:$V$44)),IF(COUNTIF($P$45:$R$45,"lv1")&gt;0,IF(SUM($T$45:$V$45)=0,$S$45,LOOKUP("lv1",$P$45:$V$45,$T$45:$V$45)),"")))</f>
      </c>
      <c r="E54" s="57">
        <f>IF($L$48="epi",IF(COUNTIF($P$48:$R$48,"lv1")&gt;0,IF(SUM($T$48:$V$48)=0,$S$48,LOOKUP("lv1",$P$48:$V$48,$T$48:$V$48)),IF(COUNTIF($P$49:$R$49,"lv1")&gt;0,IF(SUM($T$49:$V$49)=0,$S$49,LOOKUP("lv1",$P$49:$V$49,$T$49:$V$49)),IF(COUNTIF($P$50:$R$50,"lv1")&gt;0,IF(SUM($T$50:$V$50)=0,$S$50,LOOKUP("lv1",$P$50:$V$50,$T$50:$V$50)),""))),IF(COUNTIF($P$49:$R$49,"lv1")&gt;0,IF(SUM($T$49:$V$49)=0,$S$49,LOOKUP("lv1",$P$50:$V$50,$T$49:$V$49)),IF(COUNTIF($P$50:$R$50,"lv1")&gt;0,IF(SUM($T$50:$V$50)=0,$S$50,LOOKUP("lv1",$P$50:$V$50,$T$50:$V$50)),"")))</f>
      </c>
      <c r="F54" s="6">
        <f>SUM(B54:E54)</f>
        <v>0</v>
      </c>
      <c r="T54" s="65"/>
      <c r="Y54" s="64"/>
      <c r="Z54" s="64"/>
    </row>
    <row r="55" spans="1:6" ht="12.75">
      <c r="A55" s="13" t="s">
        <v>54</v>
      </c>
      <c r="B55" s="6"/>
      <c r="C55" s="57">
        <f>IF($L$38="epi",IF(COUNTIF($P$38:$R$38,"lv2")&gt;0,IF(SUM($T$38:$V$38)=0,$S$38,LOOKUP("lv2",$P$38:$V$38,$T$38:$V$38)),IF(COUNTIF($P$39:$R$39,"lv2")&gt;0,IF(SUM($T$39:$V$39)=0,$S$39,LOOKUP("lv2",$P$39:$V$39,$T$39:$V$39)),IF(COUNTIF($P$40:$R$40,"lv2")&gt;0,IF(SUM($T$40:$V$40)=0,$S$40,LOOKUP("lv2",$P$40:$V$40,$T$40:$V$40)),""))),IF(COUNTIF($P$39:$R$39,"lv2")&gt;0,IF(SUM($T$39:$V$39)=0,$S$39,LOOKUP("lv2",$P$39:$V$39,$T$39:$V$39)),IF(COUNTIF($P$40:$R$40,"lv2")&gt;0,IF(SUM($T$40:$V$40)=0,$S$40,LOOKUP("lv2",$P$40:$V$40,$T$40:$V$40)),"")))</f>
      </c>
      <c r="D55" s="57">
        <f>IF($L$43="epi",IF(COUNTIF($P$43:$R$43,"lv2")&gt;0,IF(SUM($T$43:$V$43)=0,$S$43,LOOKUP("lv2",$P$43:$V$43,$T$43:$V$43)),IF(COUNTIF($P$44:$R$44,"lv2")&gt;0,IF(SUM($T$44:$V$44)=0,$S$44,LOOKUP("lv2",$P$44:$V$44,$T$44:$V$44)),IF(COUNTIF($P$45:$R$45,"lv2")&gt;0,IF(SUM($T$45:$V$45)=0,$S$45,LOOKUP("lv2",$P$45:$V$45,$T$45:$V$45)),""))),IF(COUNTIF($P$44:$R$44,"lv2")&gt;0,IF(SUM($T$44:$V$44)=0,$S$44,LOOKUP("lv2",$P$45:$V$45,$T$44:$V$44)),IF(COUNTIF($P$45:$R$45,"lv2")&gt;0,IF(SUM($T$45:$V$45)=0,$S$45,LOOKUP("lv2",$P$45:$V$45,$T$45:$V$45)),"")))</f>
        <v>1</v>
      </c>
      <c r="E55" s="57">
        <f>IF($L$48="epi",IF(COUNTIF($P$48:$R$48,"lv2")&gt;0,IF(SUM($T$48:$V$48)=0,$S$48,LOOKUP("lv2",$P$48:$V$48,$T$48:$V$48)),IF(COUNTIF($P$49:$R$49,"lv2")&gt;0,IF(SUM($T$49:$V$49)=0,$S$49,LOOKUP("lv2",$P$49:$V$49,$T$49:$V$49)),IF(COUNTIF($P$50:$R$50,"lv2")&gt;0,IF(SUM($T$50:$V$50)=0,$S$50,LOOKUP("lv2",$P$50:$V$50,$T$50:$V$50)),""))),IF(COUNTIF($P$49:$R$49,"lv2")&gt;0,IF(SUM($T$49:$V$49)=0,$S$49,LOOKUP("lv2",$P$50:$V$50,$T$49:$V$49)),IF(COUNTIF($P$50:$R$50,"lv2")&gt;0,IF(SUM($T$50:$V$50)=0,$S$50,LOOKUP("lv2",$P$50:$V$50,$T$50:$V$50)),"")))</f>
      </c>
      <c r="F55" s="6">
        <f>SUM(B55:E55)</f>
        <v>1</v>
      </c>
    </row>
    <row r="56" spans="1:20" ht="12.75">
      <c r="A56" s="13" t="s">
        <v>56</v>
      </c>
      <c r="B56" s="6"/>
      <c r="C56" s="57">
        <f>IF($L$38="epi",IF(COUNTIF($P$38:$R$38,"maths")&gt;0,IF(SUM($T$38:$V$38)=0,$S$38,LOOKUP("maths",$P$38:$V$38,$T$38:$V$38)),IF(COUNTIF($P$39:$R$39,"maths")&gt;0,IF(SUM($T$39:$V$39)=0,$S$39,LOOKUP("maths",$P$39:$V$39,$T$39:$V$39)),IF(COUNTIF($P$40:$R$40,"maths")&gt;0,IF(SUM($T$40:$V$40)=0,$S$40,LOOKUP("maths",$P$40:$V$40,$T$40:$V$40)),""))),IF(COUNTIF($P$39:$R$39,"maths")&gt;0,IF(SUM($T$39:$V$39)=0,$S$39,LOOKUP("maths",$P$39:$V$39,$T$39:$V$39)),IF(COUNTIF($P$40:$R$40,"maths")&gt;0,IF(SUM($T$40:$V$40)=0,$S$40,LOOKUP("maths",$P$40:$V$40,$T$40:$V$40)),"")))</f>
      </c>
      <c r="D56" s="57">
        <f>IF($L$43="epi",IF(COUNTIF($P$43:$R$43,"maths")&gt;0,IF(SUM($T$43:$V$43)=0,$S$43,LOOKUP("maths",$P$43:$V$43,$T$43:$V$43)),IF(COUNTIF($P$44:$R$44,"maths")&gt;0,IF(SUM($T$44:$V$44)=0,$S$44,LOOKUP("maths",$P$44:$V$44,$T$44:$V$44)),IF(COUNTIF($P$45:$R$45,"maths")&gt;0,IF(SUM($T$45:$V$45)=0,$S$45,LOOKUP("maths",$P$45:$V$45,$T$45:$V$45)),""))),IF(COUNTIF($P$44:$R$44,"maths")&gt;0,IF(SUM($T$44:$V$44)=0,$S$44,LOOKUP("maths",$P$45:$V$45,$T$44:$V$44)),IF(COUNTIF($P$45:$R$45,"maths")&gt;0,IF(SUM($T$45:$V$45)=0,$S$45,LOOKUP("maths",$P$45:$V$45,$T$45:$V$45)),"")))</f>
      </c>
      <c r="E56" s="57">
        <f>IF($L$48="epi",IF(COUNTIF($P$48:$R$48,"maths")&gt;0,IF(SUM($T$48:$V$48)=0,$S$48,LOOKUP("maths",$P$48:$V$48,$T$48:$V$48)),IF(COUNTIF($P$49:$R$49,"maths")&gt;0,IF(SUM($T$49:$V$49)=0,$S$49,LOOKUP("maths",$P$49:$V$49,$T$49:$V$49)),IF(COUNTIF($P$50:$R$50,"maths")&gt;0,IF(SUM($T$50:$V$50)=0,$S$50,LOOKUP("maths",$P$50:$V$50,$T$50:$V$50)),""))),IF(COUNTIF($P$49:$R$49,"maths")&gt;0,IF(SUM($T$49:$V$49)=0,$S$49,LOOKUP("maths",$P$50:$V$50,$T$49:$V$49)),IF(COUNTIF($P$50:$R$50,"maths")&gt;0,IF(SUM($T$50:$V$50)=0,$S$50,LOOKUP("maths",$P$50:$V$50,$T$50:$V$50)),"")))</f>
        <v>1</v>
      </c>
      <c r="F56" s="6">
        <f>SUM(B56:E56)</f>
        <v>1</v>
      </c>
      <c r="T56" s="66"/>
    </row>
    <row r="57" spans="1:6" ht="12.75">
      <c r="A57" s="13" t="s">
        <v>58</v>
      </c>
      <c r="B57" s="67"/>
      <c r="C57" s="57">
        <f>IF($L$38="epi",IF(COUNTIF($P$38:$R$38,"svt")&gt;0,IF(SUM($T$38:$V$38)=0,$S$38,LOOKUP("svt",$P$38:$V$38,$T$38:$V$38)),IF(COUNTIF($P$39:$R$39,"svt")&gt;0,IF(SUM($T$39:$V$39)=0,$S$39,LOOKUP("svt",$P$39:$V$39,$T$39:$V$39)),IF(COUNTIF($P$40:$R$40,"svt")&gt;0,IF(SUM($T$40:$V$40)=0,$S$40,LOOKUP("svt",$P$40:$V$40,$T$40:$V$40)),""))),IF(COUNTIF($P$39:$R$39,"svt")&gt;0,IF(SUM($T$39:$V$39)=0,$S$39,LOOKUP("svt",$P$39:$V$39,$T$39:$V$39)),IF(COUNTIF($P$40:$R$40,"svt")&gt;0,IF(SUM($T$40:$V$40)=0,$S$40,LOOKUP("svt",$P$40:$V$40,$T$40:$V$40)),"")))</f>
        <v>1</v>
      </c>
      <c r="D57" s="57">
        <f>IF($L$43="epi",IF(COUNTIF($P$43:$R$43,"svt")&gt;0,IF(SUM($T$43:$V$43)=0,$S$43,LOOKUP("svt",$P$43:$V$43,$T$43:$V$43)),IF(COUNTIF($P$44:$R$44,"svt")&gt;0,IF(SUM($T$44:$V$44)=0,$S$44,LOOKUP("svt",$P$44:$V$44,$T$44:$V$44)),IF(COUNTIF($P$45:$R$45,"svt")&gt;0,IF(SUM($T$45:$V$45)=0,$S$45,LOOKUP("svt",$P$45:$V$45,$T$45:$V$45)),""))),IF(COUNTIF($P$44:$R$44,"svt")&gt;0,IF(SUM($T$44:$V$44)=0,$S$44,LOOKUP("svt",$P$45:$V$45,$T$44:$V$44)),IF(COUNTIF($P$45:$R$45,"svt")&gt;0,IF(SUM($T$45:$V$45)=0,$S$45,LOOKUP("svt",$P$45:$V$45,$T$45:$V$45)),"")))</f>
      </c>
      <c r="E57" s="57">
        <f>IF($L$48="epi",IF(COUNTIF($P$48:$R$48,"svt")&gt;0,IF(SUM($T$48:$V$48)=0,$S$48,LOOKUP("svt",$P$48:$V$48,$T$48:$V$48)),IF(COUNTIF($P$49:$R$49,"svt")&gt;0,IF(SUM($T$49:$V$49)=0,$S$49,LOOKUP("svt",$P$49:$V$49,$T$49:$V$49)),IF(COUNTIF($P$50:$R$50,"svt")&gt;0,IF(SUM($T$50:$V$50)=0,$S$50,LOOKUP("svt",$P$50:$V$50,$T$50:$V$50)),""))),IF(COUNTIF($P$49:$R$49,"svt")&gt;0,IF(SUM($T$49:$V$49)=0,$S$49,LOOKUP("svt",$P$50:$V$50,$T$49:$V$49)),IF(COUNTIF($P$50:$R$50,"svt")&gt;0,IF(SUM($T$50:$V$50)=0,$S$50,LOOKUP("svt",$P$50:$V$50,$T$50:$V$50)),"")))</f>
      </c>
      <c r="F57" s="6">
        <f>SUM(B57:E57)</f>
        <v>1</v>
      </c>
    </row>
    <row r="58" spans="1:6" ht="12.75">
      <c r="A58" s="13" t="s">
        <v>60</v>
      </c>
      <c r="B58" s="67"/>
      <c r="C58" s="57">
        <f>IF($L$38="epi",IF(COUNTIF($P$38:$R$38,"techno")&gt;0,IF(SUM($T$38:$V$38)=0,$S$38,LOOKUP("techno",$P$38:$V$38,$T$38:$V$38)),IF(COUNTIF($P$39:$R$39,"techno")&gt;0,IF(SUM($T$39:$V$39)=0,$S$39,LOOKUP("techno",$P$39:$V$39,$T$39:$V$39)),IF(COUNTIF($P$40:$R$40,"techno")&gt;0,IF(SUM($T$40:$V$40)=0,$S$40,LOOKUP("techno",$P$40:$V$40,$T$40:$V$40)),""))),IF(COUNTIF($P$39:$R$39,"techno")&gt;0,IF(SUM($T$39:$V$39)=0,$S$39,LOOKUP("techno",$P$39:$V$39,$T$39:$V$39)),IF(COUNTIF($P$40:$R$40,"techno")&gt;0,IF(SUM($T$40:$V$40)=0,$S$40,LOOKUP("techno",$P$40:$V$40,$T$40:$V$40)),"")))</f>
        <v>1</v>
      </c>
      <c r="D58" s="57">
        <f>IF($L$43="epi",IF(COUNTIF($P$43:$R$43,"techno")&gt;0,IF(SUM($T$43:$V$43)=0,$S$43,LOOKUP("techno",$P$43:$V$43,$T$43:$V$43)),IF(COUNTIF($P$44:$R$44,"techno")&gt;0,IF(SUM($T$44:$V$44)=0,$S$44,LOOKUP("techno",$P$44:$V$44,$T$44:$V$44)),IF(COUNTIF($P$45:$R$45,"techno")&gt;0,IF(SUM($T$45:$V$45)=0,$S$45,LOOKUP("techno",$P$45:$V$45,$T$45:$V$45)),""))),IF(COUNTIF($P$44:$R$44,"techno")&gt;0,IF(SUM($T$44:$V$44)=0,$S$44,LOOKUP("techno",$P$45:$V$45,$T$44:$V$44)),IF(COUNTIF($P$45:$R$45,"techno")&gt;0,IF(SUM($T$45:$V$45)=0,$S$45,LOOKUP("techno",$P$45:$V$45,$T$45:$V$45)),"")))</f>
      </c>
      <c r="E58" s="57">
        <f>IF($L$48="epi",IF(COUNTIF($P$48:$R$48,"techno")&gt;0,IF(SUM($T$48:$V$48)=0,$S$48,LOOKUP("techno",$P$48:$V$48,$T$48:$V$48)),IF(COUNTIF($P$49:$R$49,"techno")&gt;0,IF(SUM($T$49:$V$49)=0,$S$49,LOOKUP("techno",$P$49:$V$49,$T$49:$V$49)),IF(COUNTIF($P$50:$R$50,"techno")&gt;0,IF(SUM($T$50:$V$50)=0,$S$50,LOOKUP("techno",$P$50:$V$50,$T$50:$V$50)),""))),IF(COUNTIF($P$49:$R$49,"techno")&gt;0,IF(SUM($T$49:$V$49)=0,$S$49,LOOKUP("techno",$P$50:$V$50,$T$49:$V$49)),IF(COUNTIF($P$50:$R$50,"techno")&gt;0,IF(SUM($T$50:$V$50)=0,$S$50,LOOKUP("techno",$P$50:$V$50,$T$50:$V$50)),"")))</f>
        <v>1</v>
      </c>
      <c r="F58" s="6">
        <f>SUM(B58:E58)</f>
        <v>2</v>
      </c>
    </row>
    <row r="59" spans="1:6" ht="12.75">
      <c r="A59" s="13" t="s">
        <v>62</v>
      </c>
      <c r="B59" s="67"/>
      <c r="C59" s="57">
        <f>IF($L$38="epi",IF(COUNTIF($P$38:$R$38,"phys")&gt;0,IF(SUM($T$38:$V$38)=0,$S$38,LOOKUP("phys",$P$38:$V$38,$T$38:$V$38)),IF(COUNTIF($P$39:$R$39,"phys")&gt;0,IF(SUM($T$39:$V$39)=0,$S$39,LOOKUP("phys",$P$39:$V$39,$T$39:$V$39)),IF(COUNTIF($P$40:$R$40,"phys")&gt;0,IF(SUM($T$40:$V$40)=0,$S$40,LOOKUP("phys",$P$40:$V$40,$T$40:$V$40)),""))),IF(COUNTIF($P$39:$R$39,"phys")&gt;0,IF(SUM($T$39:$V$39)=0,$S$39,LOOKUP("phys",$P$39:$V$39,$T$39:$V$39)),IF(COUNTIF($P$40:$R$40,"phys")&gt;0,IF(SUM($T$40:$V$40)=0,$S$40,LOOKUP("phys",$P$40:$V$40,$T$40:$V$40)),"")))</f>
      </c>
      <c r="D59" s="57">
        <f>IF($L$43="epi",IF(COUNTIF($P$43:$R$43,"phys")&gt;0,IF(SUM($T$43:$V$43)=0,$S$43,LOOKUP("phys",$P$43:$V$43,$T$43:$V$43)),IF(COUNTIF($P$44:$R$44,"phys")&gt;0,IF(SUM($T$44:$V$44)=0,$S$44,LOOKUP("phys",$P$44:$V$44,$T$44:$V$44)),IF(COUNTIF($P$45:$R$45,"phys")&gt;0,IF(SUM($T$45:$V$45)=0,$S$45,LOOKUP("phys",$P$45:$V$45,$T$45:$V$45)),""))),IF(COUNTIF($P$44:$R$44,"phys")&gt;0,IF(SUM($T$44:$V$44)=0,$S$44,LOOKUP("phys",$P$45:$V$45,$T$44:$V$44)),IF(COUNTIF($P$45:$R$45,"phys")&gt;0,IF(SUM($T$45:$V$45)=0,$S$45,LOOKUP("phys",$P$45:$V$45,$T$45:$V$45)),"")))</f>
      </c>
      <c r="E59" s="57">
        <f>IF($L$48="epi",IF(COUNTIF($P$48:$R$48,"phys")&gt;0,IF(SUM($T$48:$V$48)=0,$S$48,LOOKUP("phys",$P$48:$V$48,$T$48:$V$48)),IF(COUNTIF($P$49:$R$49,"phys")&gt;0,IF(SUM($T$49:$V$49)=0,$S$49,LOOKUP("phys",$P$49:$V$49,$T$49:$V$49)),IF(COUNTIF($P$50:$R$50,"phys")&gt;0,IF(SUM($T$50:$V$50)=0,$S$50,LOOKUP("phys",$P$50:$V$50,$T$50:$V$50)),""))),IF(COUNTIF($P$49:$R$49,"phys")&gt;0,IF(SUM($T$49:$V$49)=0,$S$49,LOOKUP("phys",$P$50:$V$50,$T$49:$V$49)),IF(COUNTIF($P$50:$R$50,"phys")&gt;0,IF(SUM($T$50:$V$50)=0,$S$50,LOOKUP("phys",$P$50:$V$50,$T$50:$V$50)),"")))</f>
        <v>1</v>
      </c>
      <c r="F59" s="6">
        <f>SUM(B59:E59)</f>
        <v>1</v>
      </c>
    </row>
    <row r="62" spans="1:6" ht="12.75" customHeight="1">
      <c r="A62" s="47" t="s">
        <v>109</v>
      </c>
      <c r="B62" s="47"/>
      <c r="C62" s="47"/>
      <c r="D62" s="47"/>
      <c r="E62" s="47"/>
      <c r="F62" s="48">
        <f>SUM(F64:F74)</f>
        <v>20</v>
      </c>
    </row>
    <row r="63" spans="1:6" ht="12.75">
      <c r="A63" s="68" t="s">
        <v>27</v>
      </c>
      <c r="B63" s="55" t="s">
        <v>1</v>
      </c>
      <c r="C63" s="55" t="s">
        <v>2</v>
      </c>
      <c r="D63" s="55" t="s">
        <v>3</v>
      </c>
      <c r="E63" s="55" t="s">
        <v>4</v>
      </c>
      <c r="F63" s="6" t="s">
        <v>17</v>
      </c>
    </row>
    <row r="64" spans="1:6" ht="12.75">
      <c r="A64" s="68" t="s">
        <v>42</v>
      </c>
      <c r="B64" s="69"/>
      <c r="C64" s="70"/>
      <c r="D64" s="70"/>
      <c r="E64" s="70"/>
      <c r="F64" s="6">
        <f>SUM(B64:E64)</f>
        <v>0</v>
      </c>
    </row>
    <row r="65" spans="1:6" ht="12.75">
      <c r="A65" s="68" t="s">
        <v>44</v>
      </c>
      <c r="B65" s="69"/>
      <c r="C65" s="70"/>
      <c r="D65" s="70"/>
      <c r="E65" s="70"/>
      <c r="F65" s="6">
        <f>SUM(B65:E65)</f>
        <v>0</v>
      </c>
    </row>
    <row r="66" spans="1:6" ht="12.75">
      <c r="A66" s="68" t="s">
        <v>46</v>
      </c>
      <c r="B66" s="69"/>
      <c r="C66" s="70"/>
      <c r="D66" s="70"/>
      <c r="E66" s="70"/>
      <c r="F66" s="6">
        <f>SUM(B66:E66)</f>
        <v>0</v>
      </c>
    </row>
    <row r="67" spans="1:6" ht="12.75">
      <c r="A67" s="68" t="s">
        <v>48</v>
      </c>
      <c r="B67" s="69"/>
      <c r="C67" s="70"/>
      <c r="D67" s="70"/>
      <c r="E67" s="70"/>
      <c r="F67" s="6">
        <f>SUM(B67:E67)</f>
        <v>0</v>
      </c>
    </row>
    <row r="68" spans="1:6" ht="12.75">
      <c r="A68" s="68" t="s">
        <v>50</v>
      </c>
      <c r="B68" s="69"/>
      <c r="C68" s="70"/>
      <c r="D68" s="70"/>
      <c r="E68" s="70"/>
      <c r="F68" s="6">
        <f>SUM(B68:E68)</f>
        <v>0</v>
      </c>
    </row>
    <row r="69" spans="1:6" ht="12.75">
      <c r="A69" s="68" t="s">
        <v>93</v>
      </c>
      <c r="B69" s="6">
        <f>AC17</f>
        <v>0</v>
      </c>
      <c r="C69" s="13">
        <f>AC18</f>
        <v>0</v>
      </c>
      <c r="D69" s="13">
        <f>AC19</f>
        <v>0</v>
      </c>
      <c r="E69" s="13">
        <f>AC20</f>
        <v>0</v>
      </c>
      <c r="F69" s="6">
        <f>SUM(B69:E69)</f>
        <v>0</v>
      </c>
    </row>
    <row r="70" spans="1:6" ht="12.75">
      <c r="A70" s="68" t="s">
        <v>54</v>
      </c>
      <c r="B70" s="6"/>
      <c r="C70" s="13">
        <f>AC21</f>
        <v>2.5</v>
      </c>
      <c r="D70" s="13">
        <f>AC22</f>
        <v>0</v>
      </c>
      <c r="E70" s="13">
        <f>AC23</f>
        <v>0</v>
      </c>
      <c r="F70" s="6">
        <f>SUM(B70:E70)</f>
        <v>2.5</v>
      </c>
    </row>
    <row r="71" spans="1:6" ht="12.75">
      <c r="A71" s="68" t="s">
        <v>56</v>
      </c>
      <c r="B71" s="69"/>
      <c r="C71" s="70"/>
      <c r="D71" s="70"/>
      <c r="E71" s="70"/>
      <c r="F71" s="6">
        <f>SUM(B71:E71)</f>
        <v>0</v>
      </c>
    </row>
    <row r="72" spans="1:6" ht="12.75">
      <c r="A72" s="68" t="s">
        <v>58</v>
      </c>
      <c r="B72" s="70">
        <v>2</v>
      </c>
      <c r="C72" s="70">
        <v>1.5</v>
      </c>
      <c r="D72" s="70">
        <v>1.5</v>
      </c>
      <c r="E72" s="70">
        <v>1.5</v>
      </c>
      <c r="F72" s="6">
        <f>SUM(B72:E72)</f>
        <v>6.5</v>
      </c>
    </row>
    <row r="73" spans="1:6" ht="12.75">
      <c r="A73" s="68" t="s">
        <v>60</v>
      </c>
      <c r="B73" s="70">
        <v>2</v>
      </c>
      <c r="C73" s="70">
        <v>1.5</v>
      </c>
      <c r="D73" s="70">
        <v>1.5</v>
      </c>
      <c r="E73" s="70">
        <v>1.5</v>
      </c>
      <c r="F73" s="6">
        <f>SUM(B73:E73)</f>
        <v>6.5</v>
      </c>
    </row>
    <row r="74" spans="1:6" ht="12.75">
      <c r="A74" s="68" t="s">
        <v>62</v>
      </c>
      <c r="B74" s="70">
        <v>0</v>
      </c>
      <c r="C74" s="70">
        <v>1.5</v>
      </c>
      <c r="D74" s="70">
        <v>1.5</v>
      </c>
      <c r="E74" s="70">
        <v>1.5</v>
      </c>
      <c r="F74" s="6">
        <f>SUM(B74:E74)</f>
        <v>4.5</v>
      </c>
    </row>
  </sheetData>
  <sheetProtection selectLockedCells="1" selectUnlockedCells="1"/>
  <mergeCells count="13">
    <mergeCell ref="K3:O3"/>
    <mergeCell ref="B14:E14"/>
    <mergeCell ref="F14:J14"/>
    <mergeCell ref="T14:U14"/>
    <mergeCell ref="V14:W14"/>
    <mergeCell ref="X14:Y14"/>
    <mergeCell ref="F28:G28"/>
    <mergeCell ref="F29:G29"/>
    <mergeCell ref="K31:S31"/>
    <mergeCell ref="A33:E33"/>
    <mergeCell ref="A47:E47"/>
    <mergeCell ref="M52:N52"/>
    <mergeCell ref="A62:E62"/>
  </mergeCells>
  <printOptions/>
  <pageMargins left="0.7875" right="0.7875" top="1.025" bottom="1.025" header="0.7875" footer="0.7875"/>
  <pageSetup horizontalDpi="300" verticalDpi="300" orientation="portrait" paperSize="9"/>
  <headerFooter alignWithMargins="0">
    <oddHeader>&amp;C&amp;"Arial,Normal"&amp;A</oddHeader>
    <oddFooter>&amp;C&amp;"Arial,Normal"Page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2909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 </dc:creator>
  <cp:keywords/>
  <dc:description/>
  <cp:lastModifiedBy/>
  <dcterms:created xsi:type="dcterms:W3CDTF">2015-09-19T07:35:45Z</dcterms:created>
  <dcterms:modified xsi:type="dcterms:W3CDTF">2016-01-17T16:11:01Z</dcterms:modified>
  <cp:category/>
  <cp:version/>
  <cp:contentType/>
  <cp:contentStatus/>
  <cp:revision>131</cp:revision>
</cp:coreProperties>
</file>